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hamejia\Desktop\CONTRATO 6  2018\mayo\publicacion en pagina web\"/>
    </mc:Choice>
  </mc:AlternateContent>
  <xr:revisionPtr revIDLastSave="0" documentId="13_ncr:1_{7B38326D-B7F5-4BC0-84CB-C185EB9B99F0}" xr6:coauthVersionLast="31" xr6:coauthVersionMax="31" xr10:uidLastSave="{00000000-0000-0000-0000-000000000000}"/>
  <bookViews>
    <workbookView xWindow="0" yWindow="0" windowWidth="20490" windowHeight="7545" xr2:uid="{F3024FCC-D9D4-4419-9E18-CED5AE72D776}"/>
  </bookViews>
  <sheets>
    <sheet name="PAA ABRIL" sheetId="1" r:id="rId1"/>
  </sheets>
  <externalReferences>
    <externalReference r:id="rId2"/>
    <externalReference r:id="rId3"/>
    <externalReference r:id="rId4"/>
    <externalReference r:id="rId5"/>
    <externalReference r:id="rId6"/>
    <externalReference r:id="rId7"/>
    <externalReference r:id="rId8"/>
  </externalReferences>
  <definedNames>
    <definedName name="RP">[1]RP!$A$3:$N$1357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041" i="1" l="1"/>
  <c r="AM1041" i="1"/>
  <c r="AK1041" i="1"/>
  <c r="AE1041" i="1"/>
  <c r="B1041" i="1"/>
  <c r="AM1040" i="1"/>
  <c r="AK1040" i="1"/>
  <c r="S1040" i="1"/>
  <c r="AO1040" i="1" s="1"/>
  <c r="B1040" i="1"/>
  <c r="AM1039" i="1"/>
  <c r="AK1039" i="1"/>
  <c r="S1039" i="1"/>
  <c r="AO1039" i="1" s="1"/>
  <c r="B1039" i="1"/>
  <c r="AM1038" i="1"/>
  <c r="AK1038" i="1"/>
  <c r="S1038" i="1"/>
  <c r="AO1038" i="1" s="1"/>
  <c r="B1038" i="1"/>
  <c r="AM1037" i="1"/>
  <c r="AK1037" i="1"/>
  <c r="S1037" i="1"/>
  <c r="AO1037" i="1" s="1"/>
  <c r="B1037" i="1"/>
  <c r="AM1036" i="1"/>
  <c r="AK1036" i="1"/>
  <c r="S1036" i="1"/>
  <c r="AO1036" i="1" s="1"/>
  <c r="B1036" i="1"/>
  <c r="AM1035" i="1"/>
  <c r="AK1035" i="1"/>
  <c r="S1035" i="1"/>
  <c r="AO1035" i="1" s="1"/>
  <c r="B1035" i="1"/>
  <c r="AM1034" i="1"/>
  <c r="AK1034" i="1"/>
  <c r="S1034" i="1"/>
  <c r="AO1034" i="1" s="1"/>
  <c r="B1034" i="1"/>
  <c r="AL1033" i="1"/>
  <c r="AM1033" i="1" s="1"/>
  <c r="AK1033" i="1"/>
  <c r="S1033" i="1"/>
  <c r="AO1033" i="1" s="1"/>
  <c r="B1033" i="1"/>
  <c r="AM1032" i="1"/>
  <c r="AK1032" i="1"/>
  <c r="S1032" i="1"/>
  <c r="AE1032" i="1" s="1"/>
  <c r="B1032" i="1"/>
  <c r="AM1031" i="1"/>
  <c r="AK1031" i="1"/>
  <c r="S1031" i="1"/>
  <c r="AO1031" i="1" s="1"/>
  <c r="B1031" i="1"/>
  <c r="AM1030" i="1"/>
  <c r="AK1030" i="1"/>
  <c r="S1030" i="1"/>
  <c r="AE1030" i="1" s="1"/>
  <c r="B1030" i="1"/>
  <c r="AL1029" i="1"/>
  <c r="AM1029" i="1" s="1"/>
  <c r="AK1029" i="1"/>
  <c r="S1029" i="1"/>
  <c r="AO1029" i="1" s="1"/>
  <c r="B1029" i="1"/>
  <c r="AM1028" i="1"/>
  <c r="AK1028" i="1"/>
  <c r="S1028" i="1"/>
  <c r="AO1028" i="1" s="1"/>
  <c r="B1028" i="1"/>
  <c r="AM1027" i="1"/>
  <c r="AK1027" i="1"/>
  <c r="S1027" i="1"/>
  <c r="AO1027" i="1" s="1"/>
  <c r="B1027" i="1"/>
  <c r="AM1026" i="1"/>
  <c r="AK1026" i="1"/>
  <c r="S1026" i="1"/>
  <c r="AO1026" i="1" s="1"/>
  <c r="B1026" i="1"/>
  <c r="AM1025" i="1"/>
  <c r="AK1025" i="1"/>
  <c r="S1025" i="1"/>
  <c r="AO1025" i="1" s="1"/>
  <c r="B1025" i="1"/>
  <c r="AM1024" i="1"/>
  <c r="AK1024" i="1"/>
  <c r="S1024" i="1"/>
  <c r="AO1024" i="1" s="1"/>
  <c r="B1024" i="1"/>
  <c r="AM1023" i="1"/>
  <c r="AK1023" i="1"/>
  <c r="S1023" i="1"/>
  <c r="AO1023" i="1" s="1"/>
  <c r="B1023" i="1"/>
  <c r="AM1022" i="1"/>
  <c r="AK1022" i="1"/>
  <c r="S1022" i="1"/>
  <c r="AO1022" i="1" s="1"/>
  <c r="B1022" i="1"/>
  <c r="AM1021" i="1"/>
  <c r="AK1021" i="1"/>
  <c r="S1021" i="1"/>
  <c r="AO1021" i="1" s="1"/>
  <c r="B1021" i="1"/>
  <c r="AM1020" i="1"/>
  <c r="AK1020" i="1"/>
  <c r="S1020" i="1"/>
  <c r="AO1020" i="1" s="1"/>
  <c r="B1020" i="1"/>
  <c r="AM1019" i="1"/>
  <c r="AK1019" i="1"/>
  <c r="S1019" i="1"/>
  <c r="AO1019" i="1" s="1"/>
  <c r="B1019" i="1"/>
  <c r="AM1018" i="1"/>
  <c r="AK1018" i="1"/>
  <c r="S1018" i="1"/>
  <c r="AO1018" i="1" s="1"/>
  <c r="B1018" i="1"/>
  <c r="AM1017" i="1"/>
  <c r="AK1017" i="1"/>
  <c r="S1017" i="1"/>
  <c r="AO1017" i="1" s="1"/>
  <c r="B1017" i="1"/>
  <c r="AM1016" i="1"/>
  <c r="AK1016" i="1"/>
  <c r="S1016" i="1"/>
  <c r="AO1016" i="1" s="1"/>
  <c r="B1016" i="1"/>
  <c r="AO1015" i="1"/>
  <c r="AM1015" i="1"/>
  <c r="AK1015" i="1"/>
  <c r="AE1015" i="1"/>
  <c r="B1015" i="1"/>
  <c r="AO1014" i="1"/>
  <c r="AL1014" i="1"/>
  <c r="AM1014" i="1" s="1"/>
  <c r="AK1014" i="1"/>
  <c r="AE1014" i="1"/>
  <c r="B1014" i="1"/>
  <c r="AO1013" i="1"/>
  <c r="AK1013" i="1"/>
  <c r="B1013" i="1"/>
  <c r="AO1012" i="1"/>
  <c r="AK1012" i="1"/>
  <c r="AE1012" i="1"/>
  <c r="B1012" i="1"/>
  <c r="AO1011" i="1"/>
  <c r="AL1011" i="1"/>
  <c r="AM1011" i="1" s="1"/>
  <c r="AK1011" i="1"/>
  <c r="AE1011" i="1"/>
  <c r="B1011" i="1"/>
  <c r="AO1010" i="1"/>
  <c r="AL1010" i="1"/>
  <c r="AM1010" i="1" s="1"/>
  <c r="AK1010" i="1"/>
  <c r="AE1010" i="1"/>
  <c r="B1010" i="1"/>
  <c r="AO1009" i="1"/>
  <c r="AL1009" i="1"/>
  <c r="AM1009" i="1" s="1"/>
  <c r="AK1009" i="1"/>
  <c r="AE1009" i="1"/>
  <c r="B1009" i="1"/>
  <c r="AO1008" i="1"/>
  <c r="AL1008" i="1"/>
  <c r="AM1008" i="1" s="1"/>
  <c r="AK1008" i="1"/>
  <c r="AE1008" i="1"/>
  <c r="B1008" i="1"/>
  <c r="AO1007" i="1"/>
  <c r="AL1007" i="1"/>
  <c r="AM1007" i="1" s="1"/>
  <c r="AK1007" i="1"/>
  <c r="AE1007" i="1"/>
  <c r="B1007" i="1"/>
  <c r="AM1006" i="1"/>
  <c r="AK1006" i="1"/>
  <c r="S1006" i="1"/>
  <c r="AE1006" i="1" s="1"/>
  <c r="B1006" i="1"/>
  <c r="AM1005" i="1"/>
  <c r="AK1005" i="1"/>
  <c r="S1005" i="1"/>
  <c r="AO1005" i="1" s="1"/>
  <c r="B1005" i="1"/>
  <c r="AO1004" i="1"/>
  <c r="AM1004" i="1"/>
  <c r="AK1004" i="1"/>
  <c r="AE1004" i="1"/>
  <c r="B1004" i="1"/>
  <c r="AO1003" i="1"/>
  <c r="AL1003" i="1"/>
  <c r="AM1003" i="1" s="1"/>
  <c r="AK1003" i="1"/>
  <c r="AE1003" i="1"/>
  <c r="B1003" i="1"/>
  <c r="AO1002" i="1"/>
  <c r="AL1002" i="1"/>
  <c r="AM1002" i="1" s="1"/>
  <c r="AK1002" i="1"/>
  <c r="AE1002" i="1"/>
  <c r="B1002" i="1"/>
  <c r="AO1001" i="1"/>
  <c r="AL1001" i="1"/>
  <c r="AM1001" i="1" s="1"/>
  <c r="AK1001" i="1"/>
  <c r="AE1001" i="1"/>
  <c r="B1001" i="1"/>
  <c r="AO1000" i="1"/>
  <c r="AL1000" i="1"/>
  <c r="AM1000" i="1" s="1"/>
  <c r="AK1000" i="1"/>
  <c r="AE1000" i="1"/>
  <c r="B1000" i="1"/>
  <c r="AO999" i="1"/>
  <c r="AL999" i="1"/>
  <c r="AM999" i="1" s="1"/>
  <c r="AK999" i="1"/>
  <c r="AE999" i="1"/>
  <c r="B999" i="1"/>
  <c r="AO998" i="1"/>
  <c r="AL998" i="1"/>
  <c r="AM998" i="1" s="1"/>
  <c r="AK998" i="1"/>
  <c r="AE998" i="1"/>
  <c r="B998" i="1"/>
  <c r="AO997" i="1"/>
  <c r="AL997" i="1"/>
  <c r="AM997" i="1" s="1"/>
  <c r="AK997" i="1"/>
  <c r="AE997" i="1"/>
  <c r="B997" i="1"/>
  <c r="AO996" i="1"/>
  <c r="AL996" i="1"/>
  <c r="AM996" i="1" s="1"/>
  <c r="AK996" i="1"/>
  <c r="AE996" i="1"/>
  <c r="B996" i="1"/>
  <c r="AO995" i="1"/>
  <c r="AL995" i="1"/>
  <c r="AM995" i="1" s="1"/>
  <c r="AK995" i="1"/>
  <c r="AE995" i="1"/>
  <c r="B995" i="1"/>
  <c r="AO994" i="1"/>
  <c r="AL994" i="1"/>
  <c r="AM994" i="1" s="1"/>
  <c r="AK994" i="1"/>
  <c r="AE994" i="1"/>
  <c r="B994" i="1"/>
  <c r="AO993" i="1"/>
  <c r="AL993" i="1"/>
  <c r="AM993" i="1" s="1"/>
  <c r="AK993" i="1"/>
  <c r="AE993" i="1"/>
  <c r="B993" i="1"/>
  <c r="AO992" i="1"/>
  <c r="AM992" i="1"/>
  <c r="AK992" i="1"/>
  <c r="AE992" i="1"/>
  <c r="B992" i="1"/>
  <c r="AO991" i="1"/>
  <c r="AL991" i="1"/>
  <c r="AM991" i="1" s="1"/>
  <c r="AK991" i="1"/>
  <c r="AE991" i="1"/>
  <c r="B991" i="1"/>
  <c r="AO990" i="1"/>
  <c r="AM990" i="1"/>
  <c r="AK990" i="1"/>
  <c r="AE990" i="1"/>
  <c r="B990" i="1"/>
  <c r="AO989" i="1"/>
  <c r="AL989" i="1"/>
  <c r="AM989" i="1" s="1"/>
  <c r="AK989" i="1"/>
  <c r="AE989" i="1"/>
  <c r="B989" i="1"/>
  <c r="AO988" i="1"/>
  <c r="AM988" i="1"/>
  <c r="AK988" i="1"/>
  <c r="AE988" i="1"/>
  <c r="B988" i="1"/>
  <c r="AO987" i="1"/>
  <c r="AL987" i="1"/>
  <c r="AM987" i="1" s="1"/>
  <c r="AK987" i="1"/>
  <c r="AE987" i="1"/>
  <c r="B987" i="1"/>
  <c r="AO986" i="1"/>
  <c r="AL986" i="1"/>
  <c r="AM986" i="1" s="1"/>
  <c r="AK986" i="1"/>
  <c r="AE986" i="1"/>
  <c r="B986" i="1"/>
  <c r="AO985" i="1"/>
  <c r="AL985" i="1"/>
  <c r="AM985" i="1" s="1"/>
  <c r="AK985" i="1"/>
  <c r="AE985" i="1"/>
  <c r="B985" i="1"/>
  <c r="AO984" i="1"/>
  <c r="AL984" i="1"/>
  <c r="AM984" i="1" s="1"/>
  <c r="AK984" i="1"/>
  <c r="AE984" i="1"/>
  <c r="B984" i="1"/>
  <c r="AO983" i="1"/>
  <c r="AL983" i="1"/>
  <c r="AM983" i="1" s="1"/>
  <c r="AK983" i="1"/>
  <c r="AE983" i="1"/>
  <c r="B983" i="1"/>
  <c r="AO982" i="1"/>
  <c r="AM982" i="1"/>
  <c r="AK982" i="1"/>
  <c r="AE982" i="1"/>
  <c r="B982" i="1"/>
  <c r="AO981" i="1"/>
  <c r="AL981" i="1"/>
  <c r="AM981" i="1" s="1"/>
  <c r="AK981" i="1"/>
  <c r="AE981" i="1"/>
  <c r="B981" i="1"/>
  <c r="AO980" i="1"/>
  <c r="AL980" i="1"/>
  <c r="AM980" i="1" s="1"/>
  <c r="AK980" i="1"/>
  <c r="AE980" i="1"/>
  <c r="B980" i="1"/>
  <c r="AO979" i="1"/>
  <c r="AL979" i="1"/>
  <c r="AM979" i="1" s="1"/>
  <c r="AK979" i="1"/>
  <c r="AE979" i="1"/>
  <c r="B979" i="1"/>
  <c r="AO978" i="1"/>
  <c r="AL978" i="1"/>
  <c r="AM978" i="1" s="1"/>
  <c r="AK978" i="1"/>
  <c r="AE978" i="1"/>
  <c r="B978" i="1"/>
  <c r="AO977" i="1"/>
  <c r="AL977" i="1"/>
  <c r="AM977" i="1" s="1"/>
  <c r="AK977" i="1"/>
  <c r="AE977" i="1"/>
  <c r="B977" i="1"/>
  <c r="AO976" i="1"/>
  <c r="AM976" i="1"/>
  <c r="AK976" i="1"/>
  <c r="AE976" i="1"/>
  <c r="B976" i="1"/>
  <c r="AO975" i="1"/>
  <c r="AM975" i="1"/>
  <c r="AK975" i="1"/>
  <c r="AE975" i="1"/>
  <c r="B975" i="1"/>
  <c r="AT974" i="1"/>
  <c r="AO974" i="1"/>
  <c r="AL974" i="1"/>
  <c r="AM974" i="1" s="1"/>
  <c r="AK974" i="1"/>
  <c r="AE974" i="1"/>
  <c r="B974" i="1"/>
  <c r="AO973" i="1"/>
  <c r="AL973" i="1"/>
  <c r="AM973" i="1" s="1"/>
  <c r="AK973" i="1"/>
  <c r="AE973" i="1"/>
  <c r="B973" i="1"/>
  <c r="AO972" i="1"/>
  <c r="AL972" i="1"/>
  <c r="AM972" i="1" s="1"/>
  <c r="AK972" i="1"/>
  <c r="AE972" i="1"/>
  <c r="B972" i="1"/>
  <c r="AO971" i="1"/>
  <c r="AL971" i="1"/>
  <c r="AM971" i="1" s="1"/>
  <c r="AK971" i="1"/>
  <c r="AE971" i="1"/>
  <c r="B971" i="1"/>
  <c r="AO970" i="1"/>
  <c r="AL970" i="1"/>
  <c r="AM970" i="1" s="1"/>
  <c r="AK970" i="1"/>
  <c r="AE970" i="1"/>
  <c r="B970" i="1"/>
  <c r="AO969" i="1"/>
  <c r="AL969" i="1"/>
  <c r="AM969" i="1" s="1"/>
  <c r="AK969" i="1"/>
  <c r="AE969" i="1"/>
  <c r="B969" i="1"/>
  <c r="AO968" i="1"/>
  <c r="AL968" i="1"/>
  <c r="AM968" i="1" s="1"/>
  <c r="AK968" i="1"/>
  <c r="AE968" i="1"/>
  <c r="B968" i="1"/>
  <c r="AO967" i="1"/>
  <c r="AL967" i="1"/>
  <c r="AM967" i="1" s="1"/>
  <c r="AK967" i="1"/>
  <c r="AE967" i="1"/>
  <c r="B967" i="1"/>
  <c r="AO966" i="1"/>
  <c r="AL966" i="1"/>
  <c r="AM966" i="1" s="1"/>
  <c r="AK966" i="1"/>
  <c r="AE966" i="1"/>
  <c r="B966" i="1"/>
  <c r="AO965" i="1"/>
  <c r="AL965" i="1"/>
  <c r="AM965" i="1" s="1"/>
  <c r="AK965" i="1"/>
  <c r="AE965" i="1"/>
  <c r="B965" i="1"/>
  <c r="AT964" i="1"/>
  <c r="AO964" i="1"/>
  <c r="AL964" i="1"/>
  <c r="AM964" i="1" s="1"/>
  <c r="AK964" i="1"/>
  <c r="B964" i="1"/>
  <c r="AO963" i="1"/>
  <c r="AM963" i="1"/>
  <c r="AK963" i="1"/>
  <c r="B963" i="1"/>
  <c r="AO962" i="1"/>
  <c r="AL962" i="1"/>
  <c r="AM962" i="1" s="1"/>
  <c r="AK962" i="1"/>
  <c r="AE962" i="1"/>
  <c r="B962" i="1"/>
  <c r="AO961" i="1"/>
  <c r="AL961" i="1"/>
  <c r="AM961" i="1" s="1"/>
  <c r="AK961" i="1"/>
  <c r="AE961" i="1"/>
  <c r="B961" i="1"/>
  <c r="AM960" i="1"/>
  <c r="AK960" i="1"/>
  <c r="Z960" i="1"/>
  <c r="S960" i="1"/>
  <c r="B960" i="1"/>
  <c r="AO959" i="1"/>
  <c r="AM959" i="1"/>
  <c r="AK959" i="1"/>
  <c r="AE959" i="1"/>
  <c r="B959" i="1"/>
  <c r="AO958" i="1"/>
  <c r="AM958" i="1"/>
  <c r="AK958" i="1"/>
  <c r="AE958" i="1"/>
  <c r="B958" i="1"/>
  <c r="AO957" i="1"/>
  <c r="AM957" i="1"/>
  <c r="AK957" i="1"/>
  <c r="AE957" i="1"/>
  <c r="B957" i="1"/>
  <c r="AO956" i="1"/>
  <c r="AM956" i="1"/>
  <c r="AK956" i="1"/>
  <c r="AE956" i="1"/>
  <c r="B956" i="1"/>
  <c r="AO955" i="1"/>
  <c r="AM955" i="1"/>
  <c r="AK955" i="1"/>
  <c r="AE955" i="1"/>
  <c r="B955" i="1"/>
  <c r="AO954" i="1"/>
  <c r="AM954" i="1"/>
  <c r="AK954" i="1"/>
  <c r="AE954" i="1"/>
  <c r="B954" i="1"/>
  <c r="AO953" i="1"/>
  <c r="AM953" i="1"/>
  <c r="AK953" i="1"/>
  <c r="AE953" i="1"/>
  <c r="B953" i="1"/>
  <c r="AO952" i="1"/>
  <c r="AM952" i="1"/>
  <c r="AK952" i="1"/>
  <c r="AE952" i="1"/>
  <c r="B952" i="1"/>
  <c r="AM951" i="1"/>
  <c r="AK951" i="1"/>
  <c r="S951" i="1"/>
  <c r="AO951" i="1" s="1"/>
  <c r="B951" i="1"/>
  <c r="AO950" i="1"/>
  <c r="AM950" i="1"/>
  <c r="AK950" i="1"/>
  <c r="AE950" i="1"/>
  <c r="B950" i="1"/>
  <c r="AM949" i="1"/>
  <c r="AK949" i="1"/>
  <c r="S949" i="1"/>
  <c r="AO949" i="1" s="1"/>
  <c r="B949" i="1"/>
  <c r="AO948" i="1"/>
  <c r="AM948" i="1"/>
  <c r="AK948" i="1"/>
  <c r="AE948" i="1"/>
  <c r="B948" i="1"/>
  <c r="AO947" i="1"/>
  <c r="AM947" i="1"/>
  <c r="AK947" i="1"/>
  <c r="AE947" i="1"/>
  <c r="B947" i="1"/>
  <c r="AO946" i="1"/>
  <c r="AM946" i="1"/>
  <c r="AK946" i="1"/>
  <c r="AE946" i="1"/>
  <c r="B946" i="1"/>
  <c r="AO945" i="1"/>
  <c r="AM945" i="1"/>
  <c r="AK945" i="1"/>
  <c r="AE945" i="1"/>
  <c r="B945" i="1"/>
  <c r="AO944" i="1"/>
  <c r="AM944" i="1"/>
  <c r="AK944" i="1"/>
  <c r="AE944" i="1"/>
  <c r="B944" i="1"/>
  <c r="AO943" i="1"/>
  <c r="AM943" i="1"/>
  <c r="AK943" i="1"/>
  <c r="AE943" i="1"/>
  <c r="B943" i="1"/>
  <c r="AO942" i="1"/>
  <c r="AM942" i="1"/>
  <c r="AK942" i="1"/>
  <c r="AE942" i="1"/>
  <c r="B942" i="1"/>
  <c r="AO941" i="1"/>
  <c r="AM941" i="1"/>
  <c r="AK941" i="1"/>
  <c r="AE941" i="1"/>
  <c r="B941" i="1"/>
  <c r="AO940" i="1"/>
  <c r="AM940" i="1"/>
  <c r="AK940" i="1"/>
  <c r="AE940" i="1"/>
  <c r="B940" i="1"/>
  <c r="AO939" i="1"/>
  <c r="AM939" i="1"/>
  <c r="AK939" i="1"/>
  <c r="AE939" i="1"/>
  <c r="B939" i="1"/>
  <c r="AM938" i="1"/>
  <c r="AK938" i="1"/>
  <c r="S938" i="1"/>
  <c r="AO938" i="1" s="1"/>
  <c r="Q938" i="1"/>
  <c r="B938" i="1"/>
  <c r="AM937" i="1"/>
  <c r="AK937" i="1"/>
  <c r="S937" i="1"/>
  <c r="AO937" i="1" s="1"/>
  <c r="B937" i="1"/>
  <c r="AO936" i="1"/>
  <c r="AM936" i="1"/>
  <c r="AK936" i="1"/>
  <c r="AE936" i="1"/>
  <c r="B936" i="1"/>
  <c r="AM935" i="1"/>
  <c r="AK935" i="1"/>
  <c r="S935" i="1"/>
  <c r="AE935" i="1" s="1"/>
  <c r="Q935" i="1"/>
  <c r="B935" i="1"/>
  <c r="AM934" i="1"/>
  <c r="AK934" i="1"/>
  <c r="S934" i="1"/>
  <c r="AO934" i="1" s="1"/>
  <c r="B934" i="1"/>
  <c r="AO933" i="1"/>
  <c r="AM933" i="1"/>
  <c r="AK933" i="1"/>
  <c r="AE933" i="1"/>
  <c r="B933" i="1"/>
  <c r="AO932" i="1"/>
  <c r="AM932" i="1"/>
  <c r="AK932" i="1"/>
  <c r="AE932" i="1"/>
  <c r="B932" i="1"/>
  <c r="AO931" i="1"/>
  <c r="AM931" i="1"/>
  <c r="AK931" i="1"/>
  <c r="AE931" i="1"/>
  <c r="B931" i="1"/>
  <c r="AO930" i="1"/>
  <c r="AM930" i="1"/>
  <c r="AK930" i="1"/>
  <c r="AE930" i="1"/>
  <c r="B930" i="1"/>
  <c r="AO929" i="1"/>
  <c r="AM929" i="1"/>
  <c r="AK929" i="1"/>
  <c r="AE929" i="1"/>
  <c r="B929" i="1"/>
  <c r="AM928" i="1"/>
  <c r="AK928" i="1"/>
  <c r="S928" i="1"/>
  <c r="AO928" i="1" s="1"/>
  <c r="B928" i="1"/>
  <c r="AM927" i="1"/>
  <c r="AK927" i="1"/>
  <c r="S927" i="1"/>
  <c r="AE927" i="1" s="1"/>
  <c r="B927" i="1"/>
  <c r="AO926" i="1"/>
  <c r="AL926" i="1"/>
  <c r="AM926" i="1" s="1"/>
  <c r="AK926" i="1"/>
  <c r="AE926" i="1"/>
  <c r="B926" i="1"/>
  <c r="AO925" i="1"/>
  <c r="AL925" i="1"/>
  <c r="AM925" i="1" s="1"/>
  <c r="AK925" i="1"/>
  <c r="AE925" i="1"/>
  <c r="B925" i="1"/>
  <c r="AO924" i="1"/>
  <c r="AM924" i="1"/>
  <c r="AK924" i="1"/>
  <c r="AE924" i="1"/>
  <c r="B924" i="1"/>
  <c r="AT923" i="1"/>
  <c r="AO923" i="1"/>
  <c r="AM923" i="1"/>
  <c r="AK923" i="1"/>
  <c r="AE923" i="1"/>
  <c r="B923" i="1"/>
  <c r="AT922" i="1"/>
  <c r="AO922" i="1"/>
  <c r="AL922" i="1"/>
  <c r="AM922" i="1" s="1"/>
  <c r="AK922" i="1"/>
  <c r="AE922" i="1"/>
  <c r="B922" i="1"/>
  <c r="AO921" i="1"/>
  <c r="AL921" i="1"/>
  <c r="AM921" i="1" s="1"/>
  <c r="AK921" i="1"/>
  <c r="AE921" i="1"/>
  <c r="B921" i="1"/>
  <c r="AO920" i="1"/>
  <c r="AL920" i="1"/>
  <c r="AM920" i="1" s="1"/>
  <c r="AK920" i="1"/>
  <c r="AE920" i="1"/>
  <c r="B920" i="1"/>
  <c r="AO919" i="1"/>
  <c r="AL919" i="1"/>
  <c r="AM919" i="1" s="1"/>
  <c r="AK919" i="1"/>
  <c r="AE919" i="1"/>
  <c r="B919" i="1"/>
  <c r="AO918" i="1"/>
  <c r="AL918" i="1"/>
  <c r="AM918" i="1" s="1"/>
  <c r="AK918" i="1"/>
  <c r="AE918" i="1"/>
  <c r="B918" i="1"/>
  <c r="AO917" i="1"/>
  <c r="AL917" i="1"/>
  <c r="AM917" i="1" s="1"/>
  <c r="AK917" i="1"/>
  <c r="AE917" i="1"/>
  <c r="B917" i="1"/>
  <c r="AO916" i="1"/>
  <c r="AL916" i="1"/>
  <c r="AM916" i="1" s="1"/>
  <c r="AK916" i="1"/>
  <c r="AE916" i="1"/>
  <c r="B916" i="1"/>
  <c r="AO915" i="1"/>
  <c r="AL915" i="1"/>
  <c r="AM915" i="1" s="1"/>
  <c r="AK915" i="1"/>
  <c r="AE915" i="1"/>
  <c r="B915" i="1"/>
  <c r="AO914" i="1"/>
  <c r="AL914" i="1"/>
  <c r="AM914" i="1" s="1"/>
  <c r="AK914" i="1"/>
  <c r="AE914" i="1"/>
  <c r="B914" i="1"/>
  <c r="AO913" i="1"/>
  <c r="AL913" i="1"/>
  <c r="AM913" i="1" s="1"/>
  <c r="AK913" i="1"/>
  <c r="AE913" i="1"/>
  <c r="B913" i="1"/>
  <c r="AO912" i="1"/>
  <c r="AL912" i="1"/>
  <c r="AM912" i="1" s="1"/>
  <c r="AK912" i="1"/>
  <c r="AE912" i="1"/>
  <c r="B912" i="1"/>
  <c r="AO911" i="1"/>
  <c r="AL911" i="1"/>
  <c r="AM911" i="1" s="1"/>
  <c r="AK911" i="1"/>
  <c r="AE911" i="1"/>
  <c r="B911" i="1"/>
  <c r="AO910" i="1"/>
  <c r="AL910" i="1"/>
  <c r="AM910" i="1" s="1"/>
  <c r="AK910" i="1"/>
  <c r="AE910" i="1"/>
  <c r="B910" i="1"/>
  <c r="AO909" i="1"/>
  <c r="AL909" i="1"/>
  <c r="AM909" i="1" s="1"/>
  <c r="AK909" i="1"/>
  <c r="AE909" i="1"/>
  <c r="B909" i="1"/>
  <c r="AO908" i="1"/>
  <c r="AL908" i="1"/>
  <c r="AM908" i="1" s="1"/>
  <c r="AK908" i="1"/>
  <c r="AE908" i="1"/>
  <c r="B908" i="1"/>
  <c r="AO907" i="1"/>
  <c r="AL907" i="1"/>
  <c r="AM907" i="1" s="1"/>
  <c r="AK907" i="1"/>
  <c r="AE907" i="1"/>
  <c r="B907" i="1"/>
  <c r="AO906" i="1"/>
  <c r="AM906" i="1"/>
  <c r="AK906" i="1"/>
  <c r="AE906" i="1"/>
  <c r="B906" i="1"/>
  <c r="AO905" i="1"/>
  <c r="AL905" i="1"/>
  <c r="AM905" i="1" s="1"/>
  <c r="AK905" i="1"/>
  <c r="AE905" i="1"/>
  <c r="B905" i="1"/>
  <c r="AO904" i="1"/>
  <c r="AL904" i="1"/>
  <c r="AM904" i="1" s="1"/>
  <c r="AK904" i="1"/>
  <c r="AE904" i="1"/>
  <c r="B904" i="1"/>
  <c r="AO903" i="1"/>
  <c r="AL903" i="1"/>
  <c r="AM903" i="1" s="1"/>
  <c r="AK903" i="1"/>
  <c r="AE903" i="1"/>
  <c r="B903" i="1"/>
  <c r="AO902" i="1"/>
  <c r="AL902" i="1"/>
  <c r="AM902" i="1" s="1"/>
  <c r="AK902" i="1"/>
  <c r="AE902" i="1"/>
  <c r="B902" i="1"/>
  <c r="AO901" i="1"/>
  <c r="AL901" i="1"/>
  <c r="AM901" i="1" s="1"/>
  <c r="AK901" i="1"/>
  <c r="AE901" i="1"/>
  <c r="B901" i="1"/>
  <c r="AO900" i="1"/>
  <c r="AL900" i="1"/>
  <c r="AM900" i="1" s="1"/>
  <c r="AK900" i="1"/>
  <c r="AE900" i="1"/>
  <c r="B900" i="1"/>
  <c r="AO899" i="1"/>
  <c r="AL899" i="1"/>
  <c r="AM899" i="1" s="1"/>
  <c r="AK899" i="1"/>
  <c r="AE899" i="1"/>
  <c r="B899" i="1"/>
  <c r="AO898" i="1"/>
  <c r="AL898" i="1"/>
  <c r="AM898" i="1" s="1"/>
  <c r="AK898" i="1"/>
  <c r="AE898" i="1"/>
  <c r="B898" i="1"/>
  <c r="AO897" i="1"/>
  <c r="AL897" i="1"/>
  <c r="AM897" i="1" s="1"/>
  <c r="AK897" i="1"/>
  <c r="AE897" i="1"/>
  <c r="B897" i="1"/>
  <c r="AO896" i="1"/>
  <c r="AL896" i="1"/>
  <c r="AM896" i="1" s="1"/>
  <c r="AK896" i="1"/>
  <c r="AE896" i="1"/>
  <c r="B896" i="1"/>
  <c r="AO895" i="1"/>
  <c r="AL895" i="1"/>
  <c r="AM895" i="1" s="1"/>
  <c r="AK895" i="1"/>
  <c r="AE895" i="1"/>
  <c r="B895" i="1"/>
  <c r="AO894" i="1"/>
  <c r="AL894" i="1"/>
  <c r="AM894" i="1" s="1"/>
  <c r="AK894" i="1"/>
  <c r="AE894" i="1"/>
  <c r="B894" i="1"/>
  <c r="AO893" i="1"/>
  <c r="AL893" i="1"/>
  <c r="AM893" i="1" s="1"/>
  <c r="AK893" i="1"/>
  <c r="AE893" i="1"/>
  <c r="B893" i="1"/>
  <c r="AO892" i="1"/>
  <c r="AM892" i="1"/>
  <c r="AK892" i="1"/>
  <c r="AE892" i="1"/>
  <c r="B892" i="1"/>
  <c r="AO891" i="1"/>
  <c r="AL891" i="1"/>
  <c r="AM891" i="1" s="1"/>
  <c r="AK891" i="1"/>
  <c r="AE891" i="1"/>
  <c r="B891" i="1"/>
  <c r="AO890" i="1"/>
  <c r="AM890" i="1"/>
  <c r="AK890" i="1"/>
  <c r="AE890" i="1"/>
  <c r="B890" i="1"/>
  <c r="AO889" i="1"/>
  <c r="AL889" i="1"/>
  <c r="AM889" i="1" s="1"/>
  <c r="AK889" i="1"/>
  <c r="AE889" i="1"/>
  <c r="B889" i="1"/>
  <c r="AO888" i="1"/>
  <c r="AL888" i="1"/>
  <c r="AM888" i="1" s="1"/>
  <c r="AK888" i="1"/>
  <c r="AE888" i="1"/>
  <c r="B888" i="1"/>
  <c r="AO887" i="1"/>
  <c r="AL887" i="1"/>
  <c r="AM887" i="1" s="1"/>
  <c r="AK887" i="1"/>
  <c r="AE887" i="1"/>
  <c r="B887" i="1"/>
  <c r="AO886" i="1"/>
  <c r="AM886" i="1"/>
  <c r="AK886" i="1"/>
  <c r="Z886" i="1"/>
  <c r="B886" i="1"/>
  <c r="AO885" i="1"/>
  <c r="AL885" i="1"/>
  <c r="AM885" i="1" s="1"/>
  <c r="AK885" i="1"/>
  <c r="AE885" i="1"/>
  <c r="B885" i="1"/>
  <c r="AO884" i="1"/>
  <c r="AL884" i="1"/>
  <c r="AM884" i="1" s="1"/>
  <c r="AK884" i="1"/>
  <c r="AE884" i="1"/>
  <c r="B884" i="1"/>
  <c r="AO883" i="1"/>
  <c r="AL883" i="1"/>
  <c r="AM883" i="1" s="1"/>
  <c r="AK883" i="1"/>
  <c r="AE883" i="1"/>
  <c r="B883" i="1"/>
  <c r="AO882" i="1"/>
  <c r="AL882" i="1"/>
  <c r="AM882" i="1" s="1"/>
  <c r="AK882" i="1"/>
  <c r="AE882" i="1"/>
  <c r="B882" i="1"/>
  <c r="AO881" i="1"/>
  <c r="AL881" i="1"/>
  <c r="AM881" i="1" s="1"/>
  <c r="AK881" i="1"/>
  <c r="AE881" i="1"/>
  <c r="B881" i="1"/>
  <c r="AO880" i="1"/>
  <c r="AL880" i="1"/>
  <c r="AM880" i="1" s="1"/>
  <c r="AK880" i="1"/>
  <c r="AE880" i="1"/>
  <c r="B880" i="1"/>
  <c r="AO879" i="1"/>
  <c r="AL879" i="1"/>
  <c r="AM879" i="1" s="1"/>
  <c r="AK879" i="1"/>
  <c r="AE879" i="1"/>
  <c r="B879" i="1"/>
  <c r="AO878" i="1"/>
  <c r="AL878" i="1"/>
  <c r="AM878" i="1" s="1"/>
  <c r="AK878" i="1"/>
  <c r="AE878" i="1"/>
  <c r="B878" i="1"/>
  <c r="AO877" i="1"/>
  <c r="AL877" i="1"/>
  <c r="AM877" i="1" s="1"/>
  <c r="AK877" i="1"/>
  <c r="AE877" i="1"/>
  <c r="B877" i="1"/>
  <c r="AO876" i="1"/>
  <c r="AL876" i="1"/>
  <c r="AM876" i="1" s="1"/>
  <c r="AK876" i="1"/>
  <c r="AE876" i="1"/>
  <c r="B876" i="1"/>
  <c r="AO875" i="1"/>
  <c r="AL875" i="1"/>
  <c r="AM875" i="1" s="1"/>
  <c r="AK875" i="1"/>
  <c r="AE875" i="1"/>
  <c r="B875" i="1"/>
  <c r="AO874" i="1"/>
  <c r="AL874" i="1"/>
  <c r="AM874" i="1" s="1"/>
  <c r="AK874" i="1"/>
  <c r="AE874" i="1"/>
  <c r="B874" i="1"/>
  <c r="AO873" i="1"/>
  <c r="AL873" i="1"/>
  <c r="AM873" i="1" s="1"/>
  <c r="AK873" i="1"/>
  <c r="AE873" i="1"/>
  <c r="B873" i="1"/>
  <c r="AO872" i="1"/>
  <c r="AL872" i="1"/>
  <c r="AM872" i="1" s="1"/>
  <c r="AK872" i="1"/>
  <c r="AE872" i="1"/>
  <c r="B872" i="1"/>
  <c r="AO871" i="1"/>
  <c r="AL871" i="1"/>
  <c r="AM871" i="1" s="1"/>
  <c r="AK871" i="1"/>
  <c r="AE871" i="1"/>
  <c r="B871" i="1"/>
  <c r="AO870" i="1"/>
  <c r="AL870" i="1"/>
  <c r="AM870" i="1" s="1"/>
  <c r="AK870" i="1"/>
  <c r="AE870" i="1"/>
  <c r="B870" i="1"/>
  <c r="AO869" i="1"/>
  <c r="AL869" i="1"/>
  <c r="AM869" i="1" s="1"/>
  <c r="AK869" i="1"/>
  <c r="AE869" i="1"/>
  <c r="B869" i="1"/>
  <c r="AO868" i="1"/>
  <c r="AL868" i="1"/>
  <c r="AM868" i="1" s="1"/>
  <c r="AK868" i="1"/>
  <c r="AE868" i="1"/>
  <c r="B868" i="1"/>
  <c r="AO867" i="1"/>
  <c r="AL867" i="1"/>
  <c r="AM867" i="1" s="1"/>
  <c r="AK867" i="1"/>
  <c r="AE867" i="1"/>
  <c r="B867" i="1"/>
  <c r="AO866" i="1"/>
  <c r="AL866" i="1"/>
  <c r="AM866" i="1" s="1"/>
  <c r="AK866" i="1"/>
  <c r="AE866" i="1"/>
  <c r="B866" i="1"/>
  <c r="AO865" i="1"/>
  <c r="AL865" i="1"/>
  <c r="AM865" i="1" s="1"/>
  <c r="AK865" i="1"/>
  <c r="AE865" i="1"/>
  <c r="B865" i="1"/>
  <c r="AO864" i="1"/>
  <c r="AL864" i="1"/>
  <c r="AM864" i="1" s="1"/>
  <c r="AK864" i="1"/>
  <c r="AE864" i="1"/>
  <c r="B864" i="1"/>
  <c r="AO863" i="1"/>
  <c r="AL863" i="1"/>
  <c r="AM863" i="1" s="1"/>
  <c r="AK863" i="1"/>
  <c r="AE863" i="1"/>
  <c r="B863" i="1"/>
  <c r="AO862" i="1"/>
  <c r="AL862" i="1"/>
  <c r="AM862" i="1" s="1"/>
  <c r="AK862" i="1"/>
  <c r="AE862" i="1"/>
  <c r="B862" i="1"/>
  <c r="AO861" i="1"/>
  <c r="AL861" i="1"/>
  <c r="AM861" i="1" s="1"/>
  <c r="AK861" i="1"/>
  <c r="AE861" i="1"/>
  <c r="B861" i="1"/>
  <c r="AO860" i="1"/>
  <c r="AL860" i="1"/>
  <c r="AM860" i="1" s="1"/>
  <c r="AK860" i="1"/>
  <c r="AE860" i="1"/>
  <c r="B860" i="1"/>
  <c r="AO859" i="1"/>
  <c r="AL859" i="1"/>
  <c r="AM859" i="1" s="1"/>
  <c r="AK859" i="1"/>
  <c r="AE859" i="1"/>
  <c r="B859" i="1"/>
  <c r="AO858" i="1"/>
  <c r="AL858" i="1"/>
  <c r="AM858" i="1" s="1"/>
  <c r="AK858" i="1"/>
  <c r="AE858" i="1"/>
  <c r="B858" i="1"/>
  <c r="AO857" i="1"/>
  <c r="AL857" i="1"/>
  <c r="AM857" i="1" s="1"/>
  <c r="AK857" i="1"/>
  <c r="AE857" i="1"/>
  <c r="B857" i="1"/>
  <c r="AO856" i="1"/>
  <c r="AL856" i="1"/>
  <c r="AM856" i="1" s="1"/>
  <c r="AK856" i="1"/>
  <c r="AE856" i="1"/>
  <c r="B856" i="1"/>
  <c r="AO855" i="1"/>
  <c r="AL855" i="1"/>
  <c r="AM855" i="1" s="1"/>
  <c r="AK855" i="1"/>
  <c r="AE855" i="1"/>
  <c r="B855" i="1"/>
  <c r="AO854" i="1"/>
  <c r="AL854" i="1"/>
  <c r="AM854" i="1" s="1"/>
  <c r="AK854" i="1"/>
  <c r="AE854" i="1"/>
  <c r="B854" i="1"/>
  <c r="AO853" i="1"/>
  <c r="AL853" i="1"/>
  <c r="AM853" i="1" s="1"/>
  <c r="AK853" i="1"/>
  <c r="AE853" i="1"/>
  <c r="B853" i="1"/>
  <c r="AO852" i="1"/>
  <c r="AL852" i="1"/>
  <c r="AM852" i="1" s="1"/>
  <c r="AK852" i="1"/>
  <c r="AE852" i="1"/>
  <c r="B852" i="1"/>
  <c r="AO851" i="1"/>
  <c r="AL851" i="1"/>
  <c r="AM851" i="1" s="1"/>
  <c r="AK851" i="1"/>
  <c r="AE851" i="1"/>
  <c r="B851" i="1"/>
  <c r="AO850" i="1"/>
  <c r="AL850" i="1"/>
  <c r="AM850" i="1" s="1"/>
  <c r="AK850" i="1"/>
  <c r="AE850" i="1"/>
  <c r="B850" i="1"/>
  <c r="AO849" i="1"/>
  <c r="AL849" i="1"/>
  <c r="AM849" i="1" s="1"/>
  <c r="AK849" i="1"/>
  <c r="AE849" i="1"/>
  <c r="B849" i="1"/>
  <c r="AO848" i="1"/>
  <c r="AL848" i="1"/>
  <c r="AM848" i="1" s="1"/>
  <c r="AK848" i="1"/>
  <c r="AE848" i="1"/>
  <c r="B848" i="1"/>
  <c r="AO847" i="1"/>
  <c r="AL847" i="1"/>
  <c r="AM847" i="1" s="1"/>
  <c r="AK847" i="1"/>
  <c r="AE847" i="1"/>
  <c r="B847" i="1"/>
  <c r="AO846" i="1"/>
  <c r="AL846" i="1"/>
  <c r="AM846" i="1" s="1"/>
  <c r="AK846" i="1"/>
  <c r="AE846" i="1"/>
  <c r="B846" i="1"/>
  <c r="AO845" i="1"/>
  <c r="AL845" i="1"/>
  <c r="AM845" i="1" s="1"/>
  <c r="AK845" i="1"/>
  <c r="AE845" i="1"/>
  <c r="B845" i="1"/>
  <c r="AO844" i="1"/>
  <c r="AL844" i="1"/>
  <c r="AM844" i="1" s="1"/>
  <c r="AK844" i="1"/>
  <c r="AE844" i="1"/>
  <c r="B844" i="1"/>
  <c r="AO843" i="1"/>
  <c r="AL843" i="1"/>
  <c r="AM843" i="1" s="1"/>
  <c r="AK843" i="1"/>
  <c r="AE843" i="1"/>
  <c r="B843" i="1"/>
  <c r="AO842" i="1"/>
  <c r="AL842" i="1"/>
  <c r="AM842" i="1" s="1"/>
  <c r="AK842" i="1"/>
  <c r="AE842" i="1"/>
  <c r="B842" i="1"/>
  <c r="AO841" i="1"/>
  <c r="AL841" i="1"/>
  <c r="AM841" i="1" s="1"/>
  <c r="AK841" i="1"/>
  <c r="AE841" i="1"/>
  <c r="B841" i="1"/>
  <c r="AO840" i="1"/>
  <c r="AL840" i="1"/>
  <c r="AM840" i="1" s="1"/>
  <c r="AK840" i="1"/>
  <c r="AE840" i="1"/>
  <c r="B840" i="1"/>
  <c r="AO839" i="1"/>
  <c r="AL839" i="1"/>
  <c r="AM839" i="1" s="1"/>
  <c r="AK839" i="1"/>
  <c r="AE839" i="1"/>
  <c r="B839" i="1"/>
  <c r="AO838" i="1"/>
  <c r="AL838" i="1"/>
  <c r="AM838" i="1" s="1"/>
  <c r="AK838" i="1"/>
  <c r="AE838" i="1"/>
  <c r="B838" i="1"/>
  <c r="AO837" i="1"/>
  <c r="AL837" i="1"/>
  <c r="AM837" i="1" s="1"/>
  <c r="AK837" i="1"/>
  <c r="AE837" i="1"/>
  <c r="B837" i="1"/>
  <c r="AO836" i="1"/>
  <c r="AL836" i="1"/>
  <c r="AM836" i="1" s="1"/>
  <c r="AK836" i="1"/>
  <c r="AE836" i="1"/>
  <c r="B836" i="1"/>
  <c r="AO835" i="1"/>
  <c r="AL835" i="1"/>
  <c r="AM835" i="1" s="1"/>
  <c r="AK835" i="1"/>
  <c r="AE835" i="1"/>
  <c r="B835" i="1"/>
  <c r="AO834" i="1"/>
  <c r="AL834" i="1"/>
  <c r="AM834" i="1" s="1"/>
  <c r="AK834" i="1"/>
  <c r="AE834" i="1"/>
  <c r="B834" i="1"/>
  <c r="AO833" i="1"/>
  <c r="AL833" i="1"/>
  <c r="AM833" i="1" s="1"/>
  <c r="AK833" i="1"/>
  <c r="AE833" i="1"/>
  <c r="B833" i="1"/>
  <c r="AO832" i="1"/>
  <c r="AL832" i="1"/>
  <c r="AM832" i="1" s="1"/>
  <c r="AK832" i="1"/>
  <c r="AE832" i="1"/>
  <c r="B832" i="1"/>
  <c r="AO831" i="1"/>
  <c r="AL831" i="1"/>
  <c r="AM831" i="1" s="1"/>
  <c r="AK831" i="1"/>
  <c r="AE831" i="1"/>
  <c r="B831" i="1"/>
  <c r="AO830" i="1"/>
  <c r="AL830" i="1"/>
  <c r="AM830" i="1" s="1"/>
  <c r="AK830" i="1"/>
  <c r="AE830" i="1"/>
  <c r="B830" i="1"/>
  <c r="AO829" i="1"/>
  <c r="AL829" i="1"/>
  <c r="AM829" i="1" s="1"/>
  <c r="AK829" i="1"/>
  <c r="AE829" i="1"/>
  <c r="B829" i="1"/>
  <c r="AO828" i="1"/>
  <c r="AL828" i="1"/>
  <c r="AM828" i="1" s="1"/>
  <c r="AK828" i="1"/>
  <c r="AE828" i="1"/>
  <c r="B828" i="1"/>
  <c r="AO827" i="1"/>
  <c r="AL827" i="1"/>
  <c r="AM827" i="1" s="1"/>
  <c r="AK827" i="1"/>
  <c r="AE827" i="1"/>
  <c r="B827" i="1"/>
  <c r="AO826" i="1"/>
  <c r="AL826" i="1"/>
  <c r="AM826" i="1" s="1"/>
  <c r="AK826" i="1"/>
  <c r="AE826" i="1"/>
  <c r="B826" i="1"/>
  <c r="AO825" i="1"/>
  <c r="AM825" i="1"/>
  <c r="AK825" i="1"/>
  <c r="AE825" i="1"/>
  <c r="B825" i="1"/>
  <c r="AO824" i="1"/>
  <c r="AL824" i="1"/>
  <c r="AM824" i="1" s="1"/>
  <c r="AK824" i="1"/>
  <c r="AE824" i="1"/>
  <c r="B824" i="1"/>
  <c r="AO823" i="1"/>
  <c r="AL823" i="1"/>
  <c r="AM823" i="1" s="1"/>
  <c r="AK823" i="1"/>
  <c r="AE823" i="1"/>
  <c r="B823" i="1"/>
  <c r="AO822" i="1"/>
  <c r="AL822" i="1"/>
  <c r="AM822" i="1" s="1"/>
  <c r="AK822" i="1"/>
  <c r="AE822" i="1"/>
  <c r="B822" i="1"/>
  <c r="AO821" i="1"/>
  <c r="AL821" i="1"/>
  <c r="AM821" i="1" s="1"/>
  <c r="AK821" i="1"/>
  <c r="AE821" i="1"/>
  <c r="B821" i="1"/>
  <c r="AO820" i="1"/>
  <c r="AL820" i="1"/>
  <c r="AM820" i="1" s="1"/>
  <c r="AK820" i="1"/>
  <c r="AE820" i="1"/>
  <c r="B820" i="1"/>
  <c r="AO819" i="1"/>
  <c r="AL819" i="1"/>
  <c r="AM819" i="1" s="1"/>
  <c r="AK819" i="1"/>
  <c r="AE819" i="1"/>
  <c r="B819" i="1"/>
  <c r="AO818" i="1"/>
  <c r="AL818" i="1"/>
  <c r="AM818" i="1" s="1"/>
  <c r="AK818" i="1"/>
  <c r="AE818" i="1"/>
  <c r="B818" i="1"/>
  <c r="AO817" i="1"/>
  <c r="AL817" i="1"/>
  <c r="AM817" i="1" s="1"/>
  <c r="AK817" i="1"/>
  <c r="AE817" i="1"/>
  <c r="B817" i="1"/>
  <c r="AO816" i="1"/>
  <c r="AM816" i="1"/>
  <c r="AK816" i="1"/>
  <c r="AE816" i="1"/>
  <c r="B816" i="1"/>
  <c r="AO815" i="1"/>
  <c r="AL815" i="1"/>
  <c r="AM815" i="1" s="1"/>
  <c r="AK815" i="1"/>
  <c r="AE815" i="1"/>
  <c r="B815" i="1"/>
  <c r="AO814" i="1"/>
  <c r="AL814" i="1"/>
  <c r="AM814" i="1" s="1"/>
  <c r="AK814" i="1"/>
  <c r="AE814" i="1"/>
  <c r="B814" i="1"/>
  <c r="AO813" i="1"/>
  <c r="AL813" i="1"/>
  <c r="AM813" i="1" s="1"/>
  <c r="AK813" i="1"/>
  <c r="AE813" i="1"/>
  <c r="B813" i="1"/>
  <c r="AO812" i="1"/>
  <c r="AL812" i="1"/>
  <c r="AM812" i="1" s="1"/>
  <c r="AK812" i="1"/>
  <c r="AE812" i="1"/>
  <c r="B812" i="1"/>
  <c r="AO811" i="1"/>
  <c r="AL811" i="1"/>
  <c r="AM811" i="1" s="1"/>
  <c r="AK811" i="1"/>
  <c r="AE811" i="1"/>
  <c r="B811" i="1"/>
  <c r="AO810" i="1"/>
  <c r="AL810" i="1"/>
  <c r="AM810" i="1" s="1"/>
  <c r="AK810" i="1"/>
  <c r="AE810" i="1"/>
  <c r="B810" i="1"/>
  <c r="AO809" i="1"/>
  <c r="AL809" i="1"/>
  <c r="AM809" i="1" s="1"/>
  <c r="AK809" i="1"/>
  <c r="AE809" i="1"/>
  <c r="B809" i="1"/>
  <c r="AO808" i="1"/>
  <c r="AL808" i="1"/>
  <c r="AM808" i="1" s="1"/>
  <c r="AK808" i="1"/>
  <c r="AE808" i="1"/>
  <c r="B808" i="1"/>
  <c r="AO807" i="1"/>
  <c r="AL807" i="1"/>
  <c r="AM807" i="1" s="1"/>
  <c r="AK807" i="1"/>
  <c r="AE807" i="1"/>
  <c r="B807" i="1"/>
  <c r="AO806" i="1"/>
  <c r="AL806" i="1"/>
  <c r="AM806" i="1" s="1"/>
  <c r="AK806" i="1"/>
  <c r="AE806" i="1"/>
  <c r="B806" i="1"/>
  <c r="AO805" i="1"/>
  <c r="AL805" i="1"/>
  <c r="AM805" i="1" s="1"/>
  <c r="AK805" i="1"/>
  <c r="AE805" i="1"/>
  <c r="B805" i="1"/>
  <c r="AO804" i="1"/>
  <c r="AL804" i="1"/>
  <c r="AM804" i="1" s="1"/>
  <c r="AK804" i="1"/>
  <c r="AE804" i="1"/>
  <c r="B804" i="1"/>
  <c r="AO803" i="1"/>
  <c r="AL803" i="1"/>
  <c r="AM803" i="1" s="1"/>
  <c r="AK803" i="1"/>
  <c r="AE803" i="1"/>
  <c r="B803" i="1"/>
  <c r="AO802" i="1"/>
  <c r="AL802" i="1"/>
  <c r="AM802" i="1" s="1"/>
  <c r="AK802" i="1"/>
  <c r="AE802" i="1"/>
  <c r="B802" i="1"/>
  <c r="AO801" i="1"/>
  <c r="AL801" i="1"/>
  <c r="AM801" i="1" s="1"/>
  <c r="AK801" i="1"/>
  <c r="AE801" i="1"/>
  <c r="B801" i="1"/>
  <c r="AO800" i="1"/>
  <c r="AL800" i="1"/>
  <c r="AM800" i="1" s="1"/>
  <c r="AK800" i="1"/>
  <c r="AE800" i="1"/>
  <c r="B800" i="1"/>
  <c r="AO799" i="1"/>
  <c r="AL799" i="1"/>
  <c r="AM799" i="1" s="1"/>
  <c r="AK799" i="1"/>
  <c r="AE799" i="1"/>
  <c r="B799" i="1"/>
  <c r="AO798" i="1"/>
  <c r="AL798" i="1"/>
  <c r="AM798" i="1" s="1"/>
  <c r="AK798" i="1"/>
  <c r="AE798" i="1"/>
  <c r="B798" i="1"/>
  <c r="AO797" i="1"/>
  <c r="AL797" i="1"/>
  <c r="AM797" i="1" s="1"/>
  <c r="AK797" i="1"/>
  <c r="AE797" i="1"/>
  <c r="B797" i="1"/>
  <c r="AO796" i="1"/>
  <c r="AL796" i="1"/>
  <c r="AM796" i="1" s="1"/>
  <c r="AK796" i="1"/>
  <c r="AE796" i="1"/>
  <c r="B796" i="1"/>
  <c r="AO795" i="1"/>
  <c r="AL795" i="1"/>
  <c r="AM795" i="1" s="1"/>
  <c r="AK795" i="1"/>
  <c r="AE795" i="1"/>
  <c r="B795" i="1"/>
  <c r="AO794" i="1"/>
  <c r="AL794" i="1"/>
  <c r="AM794" i="1" s="1"/>
  <c r="AK794" i="1"/>
  <c r="AE794" i="1"/>
  <c r="B794" i="1"/>
  <c r="AO793" i="1"/>
  <c r="AL793" i="1"/>
  <c r="AM793" i="1" s="1"/>
  <c r="AK793" i="1"/>
  <c r="AE793" i="1"/>
  <c r="B793" i="1"/>
  <c r="AO792" i="1"/>
  <c r="AL792" i="1"/>
  <c r="AM792" i="1" s="1"/>
  <c r="AK792" i="1"/>
  <c r="AE792" i="1"/>
  <c r="B792" i="1"/>
  <c r="AO791" i="1"/>
  <c r="AL791" i="1"/>
  <c r="AM791" i="1" s="1"/>
  <c r="AK791" i="1"/>
  <c r="AE791" i="1"/>
  <c r="B791" i="1"/>
  <c r="AO790" i="1"/>
  <c r="AL790" i="1"/>
  <c r="AM790" i="1" s="1"/>
  <c r="AK790" i="1"/>
  <c r="AE790" i="1"/>
  <c r="B790" i="1"/>
  <c r="AO789" i="1"/>
  <c r="AL789" i="1"/>
  <c r="AM789" i="1" s="1"/>
  <c r="AK789" i="1"/>
  <c r="AE789" i="1"/>
  <c r="B789" i="1"/>
  <c r="AO788" i="1"/>
  <c r="AL788" i="1"/>
  <c r="AM788" i="1" s="1"/>
  <c r="AK788" i="1"/>
  <c r="AE788" i="1"/>
  <c r="B788" i="1"/>
  <c r="AO787" i="1"/>
  <c r="AL787" i="1"/>
  <c r="AM787" i="1" s="1"/>
  <c r="AK787" i="1"/>
  <c r="AE787" i="1"/>
  <c r="B787" i="1"/>
  <c r="AO786" i="1"/>
  <c r="AL786" i="1"/>
  <c r="AM786" i="1" s="1"/>
  <c r="AK786" i="1"/>
  <c r="AE786" i="1"/>
  <c r="B786" i="1"/>
  <c r="AO785" i="1"/>
  <c r="AL785" i="1"/>
  <c r="AM785" i="1" s="1"/>
  <c r="AK785" i="1"/>
  <c r="AE785" i="1"/>
  <c r="B785" i="1"/>
  <c r="AO784" i="1"/>
  <c r="AL784" i="1"/>
  <c r="AM784" i="1" s="1"/>
  <c r="AK784" i="1"/>
  <c r="AE784" i="1"/>
  <c r="B784" i="1"/>
  <c r="AO783" i="1"/>
  <c r="AL783" i="1"/>
  <c r="AM783" i="1" s="1"/>
  <c r="AK783" i="1"/>
  <c r="AE783" i="1"/>
  <c r="B783" i="1"/>
  <c r="AO782" i="1"/>
  <c r="AL782" i="1"/>
  <c r="AM782" i="1" s="1"/>
  <c r="AK782" i="1"/>
  <c r="AE782" i="1"/>
  <c r="B782" i="1"/>
  <c r="AO781" i="1"/>
  <c r="AL781" i="1"/>
  <c r="AM781" i="1" s="1"/>
  <c r="AK781" i="1"/>
  <c r="AE781" i="1"/>
  <c r="B781" i="1"/>
  <c r="AO780" i="1"/>
  <c r="AL780" i="1"/>
  <c r="AM780" i="1" s="1"/>
  <c r="AK780" i="1"/>
  <c r="AE780" i="1"/>
  <c r="B780" i="1"/>
  <c r="AO779" i="1"/>
  <c r="AM779" i="1"/>
  <c r="AK779" i="1"/>
  <c r="AE779" i="1"/>
  <c r="B779" i="1"/>
  <c r="AO778" i="1"/>
  <c r="AL778" i="1"/>
  <c r="AM778" i="1" s="1"/>
  <c r="AK778" i="1"/>
  <c r="AE778" i="1"/>
  <c r="B778" i="1"/>
  <c r="AO777" i="1"/>
  <c r="AL777" i="1"/>
  <c r="AM777" i="1" s="1"/>
  <c r="AK777" i="1"/>
  <c r="AE777" i="1"/>
  <c r="B777" i="1"/>
  <c r="AO776" i="1"/>
  <c r="AL776" i="1"/>
  <c r="AM776" i="1" s="1"/>
  <c r="AK776" i="1"/>
  <c r="AE776" i="1"/>
  <c r="B776" i="1"/>
  <c r="AO775" i="1"/>
  <c r="AL775" i="1"/>
  <c r="AM775" i="1" s="1"/>
  <c r="AK775" i="1"/>
  <c r="AE775" i="1"/>
  <c r="B775" i="1"/>
  <c r="AO774" i="1"/>
  <c r="AL774" i="1"/>
  <c r="AM774" i="1" s="1"/>
  <c r="AK774" i="1"/>
  <c r="AE774" i="1"/>
  <c r="B774" i="1"/>
  <c r="AO773" i="1"/>
  <c r="AL773" i="1"/>
  <c r="AM773" i="1" s="1"/>
  <c r="AK773" i="1"/>
  <c r="AE773" i="1"/>
  <c r="B773" i="1"/>
  <c r="AO772" i="1"/>
  <c r="AL772" i="1"/>
  <c r="AM772" i="1" s="1"/>
  <c r="AK772" i="1"/>
  <c r="AE772" i="1"/>
  <c r="B772" i="1"/>
  <c r="AO771" i="1"/>
  <c r="AL771" i="1"/>
  <c r="AM771" i="1" s="1"/>
  <c r="AK771" i="1"/>
  <c r="AE771" i="1"/>
  <c r="B771" i="1"/>
  <c r="AO770" i="1"/>
  <c r="AL770" i="1"/>
  <c r="AM770" i="1" s="1"/>
  <c r="AK770" i="1"/>
  <c r="AE770" i="1"/>
  <c r="B770" i="1"/>
  <c r="AO769" i="1"/>
  <c r="AL769" i="1"/>
  <c r="AM769" i="1" s="1"/>
  <c r="AK769" i="1"/>
  <c r="AE769" i="1"/>
  <c r="B769" i="1"/>
  <c r="AO768" i="1"/>
  <c r="AL768" i="1"/>
  <c r="AM768" i="1" s="1"/>
  <c r="AK768" i="1"/>
  <c r="AE768" i="1"/>
  <c r="B768" i="1"/>
  <c r="AO767" i="1"/>
  <c r="AL767" i="1"/>
  <c r="AM767" i="1" s="1"/>
  <c r="AK767" i="1"/>
  <c r="AE767" i="1"/>
  <c r="B767" i="1"/>
  <c r="AO766" i="1"/>
  <c r="AM766" i="1"/>
  <c r="AK766" i="1"/>
  <c r="AE766" i="1"/>
  <c r="B766" i="1"/>
  <c r="AO765" i="1"/>
  <c r="AL765" i="1"/>
  <c r="AM765" i="1" s="1"/>
  <c r="AK765" i="1"/>
  <c r="AE765" i="1"/>
  <c r="B765" i="1"/>
  <c r="AO764" i="1"/>
  <c r="AL764" i="1"/>
  <c r="AM764" i="1" s="1"/>
  <c r="AK764" i="1"/>
  <c r="AE764" i="1"/>
  <c r="B764" i="1"/>
  <c r="AO763" i="1"/>
  <c r="AL763" i="1"/>
  <c r="AM763" i="1" s="1"/>
  <c r="AK763" i="1"/>
  <c r="AE763" i="1"/>
  <c r="B763" i="1"/>
  <c r="AO762" i="1"/>
  <c r="AM762" i="1"/>
  <c r="AK762" i="1"/>
  <c r="AE762" i="1"/>
  <c r="B762" i="1"/>
  <c r="AO761" i="1"/>
  <c r="AL761" i="1"/>
  <c r="AM761" i="1" s="1"/>
  <c r="AK761" i="1"/>
  <c r="AE761" i="1"/>
  <c r="B761" i="1"/>
  <c r="AO760" i="1"/>
  <c r="AL760" i="1"/>
  <c r="AM760" i="1" s="1"/>
  <c r="AK760" i="1"/>
  <c r="AE760" i="1"/>
  <c r="B760" i="1"/>
  <c r="AO759" i="1"/>
  <c r="AL759" i="1"/>
  <c r="AM759" i="1" s="1"/>
  <c r="AK759" i="1"/>
  <c r="AE759" i="1"/>
  <c r="B759" i="1"/>
  <c r="AO758" i="1"/>
  <c r="AL758" i="1"/>
  <c r="AM758" i="1" s="1"/>
  <c r="AK758" i="1"/>
  <c r="AE758" i="1"/>
  <c r="B758" i="1"/>
  <c r="AO757" i="1"/>
  <c r="AL757" i="1"/>
  <c r="AM757" i="1" s="1"/>
  <c r="AK757" i="1"/>
  <c r="AE757" i="1"/>
  <c r="B757" i="1"/>
  <c r="AO756" i="1"/>
  <c r="AL756" i="1"/>
  <c r="AM756" i="1" s="1"/>
  <c r="AK756" i="1"/>
  <c r="AE756" i="1"/>
  <c r="B756" i="1"/>
  <c r="AO755" i="1"/>
  <c r="AL755" i="1"/>
  <c r="AM755" i="1" s="1"/>
  <c r="AK755" i="1"/>
  <c r="AE755" i="1"/>
  <c r="B755" i="1"/>
  <c r="AO754" i="1"/>
  <c r="AL754" i="1"/>
  <c r="AM754" i="1" s="1"/>
  <c r="AK754" i="1"/>
  <c r="AE754" i="1"/>
  <c r="B754" i="1"/>
  <c r="AO753" i="1"/>
  <c r="AL753" i="1"/>
  <c r="AM753" i="1" s="1"/>
  <c r="AK753" i="1"/>
  <c r="AE753" i="1"/>
  <c r="B753" i="1"/>
  <c r="AO752" i="1"/>
  <c r="AL752" i="1"/>
  <c r="AM752" i="1" s="1"/>
  <c r="AK752" i="1"/>
  <c r="AE752" i="1"/>
  <c r="B752" i="1"/>
  <c r="AO751" i="1"/>
  <c r="AL751" i="1"/>
  <c r="AM751" i="1" s="1"/>
  <c r="AK751" i="1"/>
  <c r="AE751" i="1"/>
  <c r="B751" i="1"/>
  <c r="AO750" i="1"/>
  <c r="AL750" i="1"/>
  <c r="AM750" i="1" s="1"/>
  <c r="AK750" i="1"/>
  <c r="AE750" i="1"/>
  <c r="B750" i="1"/>
  <c r="AO749" i="1"/>
  <c r="AL749" i="1"/>
  <c r="AM749" i="1" s="1"/>
  <c r="AK749" i="1"/>
  <c r="AE749" i="1"/>
  <c r="B749" i="1"/>
  <c r="AO748" i="1"/>
  <c r="AL748" i="1"/>
  <c r="AM748" i="1" s="1"/>
  <c r="AK748" i="1"/>
  <c r="AE748" i="1"/>
  <c r="B748" i="1"/>
  <c r="AO747" i="1"/>
  <c r="AL747" i="1"/>
  <c r="AM747" i="1" s="1"/>
  <c r="AK747" i="1"/>
  <c r="AE747" i="1"/>
  <c r="B747" i="1"/>
  <c r="AO746" i="1"/>
  <c r="AL746" i="1"/>
  <c r="AM746" i="1" s="1"/>
  <c r="AK746" i="1"/>
  <c r="AE746" i="1"/>
  <c r="B746" i="1"/>
  <c r="AO745" i="1"/>
  <c r="AL745" i="1"/>
  <c r="AM745" i="1" s="1"/>
  <c r="AK745" i="1"/>
  <c r="AE745" i="1"/>
  <c r="B745" i="1"/>
  <c r="AO744" i="1"/>
  <c r="AL744" i="1"/>
  <c r="AM744" i="1" s="1"/>
  <c r="AK744" i="1"/>
  <c r="AE744" i="1"/>
  <c r="B744" i="1"/>
  <c r="AO743" i="1"/>
  <c r="AL743" i="1"/>
  <c r="AM743" i="1" s="1"/>
  <c r="AK743" i="1"/>
  <c r="AE743" i="1"/>
  <c r="B743" i="1"/>
  <c r="AO742" i="1"/>
  <c r="AL742" i="1"/>
  <c r="AM742" i="1" s="1"/>
  <c r="AK742" i="1"/>
  <c r="AE742" i="1"/>
  <c r="B742" i="1"/>
  <c r="AO741" i="1"/>
  <c r="AL741" i="1"/>
  <c r="AM741" i="1" s="1"/>
  <c r="AK741" i="1"/>
  <c r="AE741" i="1"/>
  <c r="B741" i="1"/>
  <c r="AO740" i="1"/>
  <c r="AL740" i="1"/>
  <c r="AM740" i="1" s="1"/>
  <c r="AK740" i="1"/>
  <c r="AE740" i="1"/>
  <c r="B740" i="1"/>
  <c r="AO739" i="1"/>
  <c r="AL739" i="1"/>
  <c r="AM739" i="1" s="1"/>
  <c r="AK739" i="1"/>
  <c r="AE739" i="1"/>
  <c r="B739" i="1"/>
  <c r="AO738" i="1"/>
  <c r="AL738" i="1"/>
  <c r="AM738" i="1" s="1"/>
  <c r="AK738" i="1"/>
  <c r="AE738" i="1"/>
  <c r="B738" i="1"/>
  <c r="AO737" i="1"/>
  <c r="AL737" i="1"/>
  <c r="AM737" i="1" s="1"/>
  <c r="AK737" i="1"/>
  <c r="AE737" i="1"/>
  <c r="B737" i="1"/>
  <c r="AO736" i="1"/>
  <c r="AL736" i="1"/>
  <c r="AM736" i="1" s="1"/>
  <c r="AK736" i="1"/>
  <c r="AE736" i="1"/>
  <c r="B736" i="1"/>
  <c r="AO735" i="1"/>
  <c r="AL735" i="1"/>
  <c r="AM735" i="1" s="1"/>
  <c r="AK735" i="1"/>
  <c r="AE735" i="1"/>
  <c r="B735" i="1"/>
  <c r="AO734" i="1"/>
  <c r="AL734" i="1"/>
  <c r="AM734" i="1" s="1"/>
  <c r="AK734" i="1"/>
  <c r="AE734" i="1"/>
  <c r="B734" i="1"/>
  <c r="AO733" i="1"/>
  <c r="AL733" i="1"/>
  <c r="AM733" i="1" s="1"/>
  <c r="AK733" i="1"/>
  <c r="AE733" i="1"/>
  <c r="B733" i="1"/>
  <c r="AO732" i="1"/>
  <c r="AL732" i="1"/>
  <c r="AM732" i="1" s="1"/>
  <c r="AK732" i="1"/>
  <c r="AE732" i="1"/>
  <c r="B732" i="1"/>
  <c r="AO731" i="1"/>
  <c r="AL731" i="1"/>
  <c r="AM731" i="1" s="1"/>
  <c r="AK731" i="1"/>
  <c r="AE731" i="1"/>
  <c r="B731" i="1"/>
  <c r="AO730" i="1"/>
  <c r="AL730" i="1"/>
  <c r="AM730" i="1" s="1"/>
  <c r="AK730" i="1"/>
  <c r="AE730" i="1"/>
  <c r="B730" i="1"/>
  <c r="AO729" i="1"/>
  <c r="AL729" i="1"/>
  <c r="AM729" i="1" s="1"/>
  <c r="AK729" i="1"/>
  <c r="AE729" i="1"/>
  <c r="B729" i="1"/>
  <c r="AO728" i="1"/>
  <c r="AL728" i="1"/>
  <c r="AM728" i="1" s="1"/>
  <c r="AK728" i="1"/>
  <c r="AE728" i="1"/>
  <c r="B728" i="1"/>
  <c r="AO727" i="1"/>
  <c r="AL727" i="1"/>
  <c r="AM727" i="1" s="1"/>
  <c r="AK727" i="1"/>
  <c r="AE727" i="1"/>
  <c r="B727" i="1"/>
  <c r="AO726" i="1"/>
  <c r="AL726" i="1"/>
  <c r="AM726" i="1" s="1"/>
  <c r="AK726" i="1"/>
  <c r="AE726" i="1"/>
  <c r="B726" i="1"/>
  <c r="AO725" i="1"/>
  <c r="AL725" i="1"/>
  <c r="AM725" i="1" s="1"/>
  <c r="AK725" i="1"/>
  <c r="AE725" i="1"/>
  <c r="B725" i="1"/>
  <c r="AO724" i="1"/>
  <c r="AL724" i="1"/>
  <c r="AM724" i="1" s="1"/>
  <c r="AK724" i="1"/>
  <c r="AE724" i="1"/>
  <c r="B724" i="1"/>
  <c r="AO723" i="1"/>
  <c r="AL723" i="1"/>
  <c r="AM723" i="1" s="1"/>
  <c r="AK723" i="1"/>
  <c r="AE723" i="1"/>
  <c r="B723" i="1"/>
  <c r="AO722" i="1"/>
  <c r="AL722" i="1"/>
  <c r="AM722" i="1" s="1"/>
  <c r="AK722" i="1"/>
  <c r="AE722" i="1"/>
  <c r="B722" i="1"/>
  <c r="AO721" i="1"/>
  <c r="AL721" i="1"/>
  <c r="AM721" i="1" s="1"/>
  <c r="AK721" i="1"/>
  <c r="AE721" i="1"/>
  <c r="B721" i="1"/>
  <c r="AO720" i="1"/>
  <c r="AL720" i="1"/>
  <c r="AM720" i="1" s="1"/>
  <c r="AK720" i="1"/>
  <c r="AE720" i="1"/>
  <c r="B720" i="1"/>
  <c r="AO719" i="1"/>
  <c r="AL719" i="1"/>
  <c r="AM719" i="1" s="1"/>
  <c r="AK719" i="1"/>
  <c r="AE719" i="1"/>
  <c r="B719" i="1"/>
  <c r="AO718" i="1"/>
  <c r="AL718" i="1"/>
  <c r="AM718" i="1" s="1"/>
  <c r="AK718" i="1"/>
  <c r="AE718" i="1"/>
  <c r="B718" i="1"/>
  <c r="AO717" i="1"/>
  <c r="AL717" i="1"/>
  <c r="AM717" i="1" s="1"/>
  <c r="AK717" i="1"/>
  <c r="AE717" i="1"/>
  <c r="B717" i="1"/>
  <c r="AO716" i="1"/>
  <c r="AL716" i="1"/>
  <c r="AM716" i="1" s="1"/>
  <c r="AK716" i="1"/>
  <c r="AE716" i="1"/>
  <c r="B716" i="1"/>
  <c r="AO715" i="1"/>
  <c r="AL715" i="1"/>
  <c r="AM715" i="1" s="1"/>
  <c r="AK715" i="1"/>
  <c r="AE715" i="1"/>
  <c r="B715" i="1"/>
  <c r="AO714" i="1"/>
  <c r="AM714" i="1"/>
  <c r="AK714" i="1"/>
  <c r="AE714" i="1"/>
  <c r="B714" i="1"/>
  <c r="AO713" i="1"/>
  <c r="AM713" i="1"/>
  <c r="AK713" i="1"/>
  <c r="AE713" i="1"/>
  <c r="B713" i="1"/>
  <c r="AO712" i="1"/>
  <c r="AM712" i="1"/>
  <c r="AK712" i="1"/>
  <c r="AE712" i="1"/>
  <c r="B712" i="1"/>
  <c r="AO711" i="1"/>
  <c r="AL711" i="1"/>
  <c r="AM711" i="1" s="1"/>
  <c r="AK711" i="1"/>
  <c r="AE711" i="1"/>
  <c r="B711" i="1"/>
  <c r="AO710" i="1"/>
  <c r="AM710" i="1"/>
  <c r="AK710" i="1"/>
  <c r="AE710" i="1"/>
  <c r="B710" i="1"/>
  <c r="AO709" i="1"/>
  <c r="AM709" i="1"/>
  <c r="AK709" i="1"/>
  <c r="AE709" i="1"/>
  <c r="B709" i="1"/>
  <c r="AO708" i="1"/>
  <c r="AL708" i="1"/>
  <c r="AM708" i="1" s="1"/>
  <c r="AK708" i="1"/>
  <c r="AE708" i="1"/>
  <c r="B708" i="1"/>
  <c r="AO707" i="1"/>
  <c r="AM707" i="1"/>
  <c r="AK707" i="1"/>
  <c r="AE707" i="1"/>
  <c r="B707" i="1"/>
  <c r="AO706" i="1"/>
  <c r="AM706" i="1"/>
  <c r="AK706" i="1"/>
  <c r="AE706" i="1"/>
  <c r="B706" i="1"/>
  <c r="AO705" i="1"/>
  <c r="AL705" i="1"/>
  <c r="AM705" i="1" s="1"/>
  <c r="AK705" i="1"/>
  <c r="AE705" i="1"/>
  <c r="B705" i="1"/>
  <c r="AO704" i="1"/>
  <c r="AM704" i="1"/>
  <c r="AK704" i="1"/>
  <c r="AE704" i="1"/>
  <c r="B704" i="1"/>
  <c r="AO703" i="1"/>
  <c r="AM703" i="1"/>
  <c r="AK703" i="1"/>
  <c r="AE703" i="1"/>
  <c r="B703" i="1"/>
  <c r="AO702" i="1"/>
  <c r="AL702" i="1"/>
  <c r="AM702" i="1" s="1"/>
  <c r="AK702" i="1"/>
  <c r="AE702" i="1"/>
  <c r="B702" i="1"/>
  <c r="AO701" i="1"/>
  <c r="AL701" i="1"/>
  <c r="AM701" i="1" s="1"/>
  <c r="AK701" i="1"/>
  <c r="AE701" i="1"/>
  <c r="B701" i="1"/>
  <c r="AO700" i="1"/>
  <c r="AL700" i="1"/>
  <c r="AM700" i="1" s="1"/>
  <c r="AK700" i="1"/>
  <c r="AE700" i="1"/>
  <c r="B700" i="1"/>
  <c r="AO699" i="1"/>
  <c r="AL699" i="1"/>
  <c r="AM699" i="1" s="1"/>
  <c r="AK699" i="1"/>
  <c r="AE699" i="1"/>
  <c r="B699" i="1"/>
  <c r="AO698" i="1"/>
  <c r="AL698" i="1"/>
  <c r="AM698" i="1" s="1"/>
  <c r="AK698" i="1"/>
  <c r="AE698" i="1"/>
  <c r="B698" i="1"/>
  <c r="AO697" i="1"/>
  <c r="AL697" i="1"/>
  <c r="AM697" i="1" s="1"/>
  <c r="AK697" i="1"/>
  <c r="AE697" i="1"/>
  <c r="B697" i="1"/>
  <c r="AO696" i="1"/>
  <c r="AL696" i="1"/>
  <c r="AM696" i="1" s="1"/>
  <c r="AK696" i="1"/>
  <c r="AE696" i="1"/>
  <c r="B696" i="1"/>
  <c r="AO695" i="1"/>
  <c r="AL695" i="1"/>
  <c r="AM695" i="1" s="1"/>
  <c r="AK695" i="1"/>
  <c r="AE695" i="1"/>
  <c r="B695" i="1"/>
  <c r="AO694" i="1"/>
  <c r="AM694" i="1"/>
  <c r="AK694" i="1"/>
  <c r="AE694" i="1"/>
  <c r="B694" i="1"/>
  <c r="AO693" i="1"/>
  <c r="AL693" i="1"/>
  <c r="AM693" i="1" s="1"/>
  <c r="AK693" i="1"/>
  <c r="AE693" i="1"/>
  <c r="B693" i="1"/>
  <c r="AO692" i="1"/>
  <c r="AL692" i="1"/>
  <c r="AM692" i="1" s="1"/>
  <c r="AK692" i="1"/>
  <c r="AE692" i="1"/>
  <c r="B692" i="1"/>
  <c r="AO691" i="1"/>
  <c r="AL691" i="1"/>
  <c r="AM691" i="1" s="1"/>
  <c r="AK691" i="1"/>
  <c r="AE691" i="1"/>
  <c r="B691" i="1"/>
  <c r="AO690" i="1"/>
  <c r="AM690" i="1"/>
  <c r="AK690" i="1"/>
  <c r="AE690" i="1"/>
  <c r="B690" i="1"/>
  <c r="AO689" i="1"/>
  <c r="AM689" i="1"/>
  <c r="AK689" i="1"/>
  <c r="AE689" i="1"/>
  <c r="B689" i="1"/>
  <c r="AO688" i="1"/>
  <c r="AM688" i="1"/>
  <c r="AK688" i="1"/>
  <c r="AE688" i="1"/>
  <c r="B688" i="1"/>
  <c r="AO687" i="1"/>
  <c r="AM687" i="1"/>
  <c r="AK687" i="1"/>
  <c r="AE687" i="1"/>
  <c r="B687" i="1"/>
  <c r="AO686" i="1"/>
  <c r="AM686" i="1"/>
  <c r="AK686" i="1"/>
  <c r="AE686" i="1"/>
  <c r="B686" i="1"/>
  <c r="AO685" i="1"/>
  <c r="AL685" i="1"/>
  <c r="AM685" i="1" s="1"/>
  <c r="AK685" i="1"/>
  <c r="AE685" i="1"/>
  <c r="B685" i="1"/>
  <c r="AO684" i="1"/>
  <c r="AL684" i="1"/>
  <c r="AM684" i="1" s="1"/>
  <c r="AK684" i="1"/>
  <c r="AE684" i="1"/>
  <c r="B684" i="1"/>
  <c r="AO683" i="1"/>
  <c r="AL683" i="1"/>
  <c r="AM683" i="1" s="1"/>
  <c r="AK683" i="1"/>
  <c r="AE683" i="1"/>
  <c r="B683" i="1"/>
  <c r="AO682" i="1"/>
  <c r="AL682" i="1"/>
  <c r="AM682" i="1" s="1"/>
  <c r="AK682" i="1"/>
  <c r="AE682" i="1"/>
  <c r="B682" i="1"/>
  <c r="AO681" i="1"/>
  <c r="AL681" i="1"/>
  <c r="AM681" i="1" s="1"/>
  <c r="AK681" i="1"/>
  <c r="AE681" i="1"/>
  <c r="B681" i="1"/>
  <c r="AO680" i="1"/>
  <c r="AL680" i="1"/>
  <c r="AM680" i="1" s="1"/>
  <c r="AK680" i="1"/>
  <c r="AE680" i="1"/>
  <c r="B680" i="1"/>
  <c r="AO679" i="1"/>
  <c r="AL679" i="1"/>
  <c r="AM679" i="1" s="1"/>
  <c r="AK679" i="1"/>
  <c r="AE679" i="1"/>
  <c r="B679" i="1"/>
  <c r="AO678" i="1"/>
  <c r="AL678" i="1"/>
  <c r="AM678" i="1" s="1"/>
  <c r="AK678" i="1"/>
  <c r="AE678" i="1"/>
  <c r="B678" i="1"/>
  <c r="AO677" i="1"/>
  <c r="AL677" i="1"/>
  <c r="AM677" i="1" s="1"/>
  <c r="AK677" i="1"/>
  <c r="AE677" i="1"/>
  <c r="B677" i="1"/>
  <c r="AO676" i="1"/>
  <c r="AL676" i="1"/>
  <c r="AM676" i="1" s="1"/>
  <c r="AK676" i="1"/>
  <c r="AE676" i="1"/>
  <c r="B676" i="1"/>
  <c r="AO675" i="1"/>
  <c r="AL675" i="1"/>
  <c r="AM675" i="1" s="1"/>
  <c r="AK675" i="1"/>
  <c r="AE675" i="1"/>
  <c r="B675" i="1"/>
  <c r="AO674" i="1"/>
  <c r="AL674" i="1"/>
  <c r="AM674" i="1" s="1"/>
  <c r="AK674" i="1"/>
  <c r="AE674" i="1"/>
  <c r="B674" i="1"/>
  <c r="AO673" i="1"/>
  <c r="AL673" i="1"/>
  <c r="AM673" i="1" s="1"/>
  <c r="AK673" i="1"/>
  <c r="AE673" i="1"/>
  <c r="B673" i="1"/>
  <c r="AO672" i="1"/>
  <c r="AL672" i="1"/>
  <c r="AM672" i="1" s="1"/>
  <c r="AK672" i="1"/>
  <c r="AE672" i="1"/>
  <c r="B672" i="1"/>
  <c r="AO671" i="1"/>
  <c r="AL671" i="1"/>
  <c r="AM671" i="1" s="1"/>
  <c r="AK671" i="1"/>
  <c r="AE671" i="1"/>
  <c r="B671" i="1"/>
  <c r="AO670" i="1"/>
  <c r="AL670" i="1"/>
  <c r="AM670" i="1" s="1"/>
  <c r="AK670" i="1"/>
  <c r="AE670" i="1"/>
  <c r="B670" i="1"/>
  <c r="AO669" i="1"/>
  <c r="AL669" i="1"/>
  <c r="AM669" i="1" s="1"/>
  <c r="AK669" i="1"/>
  <c r="AE669" i="1"/>
  <c r="B669" i="1"/>
  <c r="AO668" i="1"/>
  <c r="AL668" i="1"/>
  <c r="AM668" i="1" s="1"/>
  <c r="AK668" i="1"/>
  <c r="AE668" i="1"/>
  <c r="B668" i="1"/>
  <c r="AO667" i="1"/>
  <c r="AL667" i="1"/>
  <c r="AM667" i="1" s="1"/>
  <c r="AK667" i="1"/>
  <c r="AE667" i="1"/>
  <c r="B667" i="1"/>
  <c r="AO666" i="1"/>
  <c r="AM666" i="1"/>
  <c r="AK666" i="1"/>
  <c r="AE666" i="1"/>
  <c r="B666" i="1"/>
  <c r="AO665" i="1"/>
  <c r="AL665" i="1"/>
  <c r="AM665" i="1" s="1"/>
  <c r="AK665" i="1"/>
  <c r="AE665" i="1"/>
  <c r="B665" i="1"/>
  <c r="AO664" i="1"/>
  <c r="AL664" i="1"/>
  <c r="AM664" i="1" s="1"/>
  <c r="AK664" i="1"/>
  <c r="AE664" i="1"/>
  <c r="B664" i="1"/>
  <c r="AO663" i="1"/>
  <c r="AL663" i="1"/>
  <c r="AM663" i="1" s="1"/>
  <c r="AK663" i="1"/>
  <c r="AE663" i="1"/>
  <c r="B663" i="1"/>
  <c r="AO662" i="1"/>
  <c r="AL662" i="1"/>
  <c r="AM662" i="1" s="1"/>
  <c r="AK662" i="1"/>
  <c r="AE662" i="1"/>
  <c r="B662" i="1"/>
  <c r="AO661" i="1"/>
  <c r="AL661" i="1"/>
  <c r="AM661" i="1" s="1"/>
  <c r="AK661" i="1"/>
  <c r="AE661" i="1"/>
  <c r="B661" i="1"/>
  <c r="AO660" i="1"/>
  <c r="AL660" i="1"/>
  <c r="AM660" i="1" s="1"/>
  <c r="AK660" i="1"/>
  <c r="AE660" i="1"/>
  <c r="B660" i="1"/>
  <c r="AO659" i="1"/>
  <c r="AL659" i="1"/>
  <c r="AM659" i="1" s="1"/>
  <c r="AK659" i="1"/>
  <c r="AE659" i="1"/>
  <c r="B659" i="1"/>
  <c r="AO658" i="1"/>
  <c r="AL658" i="1"/>
  <c r="AM658" i="1" s="1"/>
  <c r="AK658" i="1"/>
  <c r="AE658" i="1"/>
  <c r="B658" i="1"/>
  <c r="AO657" i="1"/>
  <c r="AL657" i="1"/>
  <c r="AM657" i="1" s="1"/>
  <c r="AK657" i="1"/>
  <c r="AE657" i="1"/>
  <c r="B657" i="1"/>
  <c r="AO656" i="1"/>
  <c r="AL656" i="1"/>
  <c r="AM656" i="1" s="1"/>
  <c r="AK656" i="1"/>
  <c r="AE656" i="1"/>
  <c r="B656" i="1"/>
  <c r="AO655" i="1"/>
  <c r="AM655" i="1"/>
  <c r="AK655" i="1"/>
  <c r="AE655" i="1"/>
  <c r="B655" i="1"/>
  <c r="AO654" i="1"/>
  <c r="AL654" i="1"/>
  <c r="AM654" i="1" s="1"/>
  <c r="AK654" i="1"/>
  <c r="AE654" i="1"/>
  <c r="B654" i="1"/>
  <c r="AO653" i="1"/>
  <c r="AL653" i="1"/>
  <c r="AM653" i="1" s="1"/>
  <c r="AK653" i="1"/>
  <c r="AE653" i="1"/>
  <c r="B653" i="1"/>
  <c r="AO652" i="1"/>
  <c r="AL652" i="1"/>
  <c r="AM652" i="1" s="1"/>
  <c r="AK652" i="1"/>
  <c r="AE652" i="1"/>
  <c r="B652" i="1"/>
  <c r="AO651" i="1"/>
  <c r="AL651" i="1"/>
  <c r="AM651" i="1" s="1"/>
  <c r="AK651" i="1"/>
  <c r="AE651" i="1"/>
  <c r="B651" i="1"/>
  <c r="AO650" i="1"/>
  <c r="AM650" i="1"/>
  <c r="AK650" i="1"/>
  <c r="AE650" i="1"/>
  <c r="B650" i="1"/>
  <c r="AO649" i="1"/>
  <c r="AL649" i="1"/>
  <c r="AM649" i="1" s="1"/>
  <c r="AK649" i="1"/>
  <c r="AE649" i="1"/>
  <c r="B649" i="1"/>
  <c r="AO648" i="1"/>
  <c r="AL648" i="1"/>
  <c r="AM648" i="1" s="1"/>
  <c r="AK648" i="1"/>
  <c r="AE648" i="1"/>
  <c r="B648" i="1"/>
  <c r="AO647" i="1"/>
  <c r="AL647" i="1"/>
  <c r="AM647" i="1" s="1"/>
  <c r="AK647" i="1"/>
  <c r="AE647" i="1"/>
  <c r="B647" i="1"/>
  <c r="AO646" i="1"/>
  <c r="AL646" i="1"/>
  <c r="AM646" i="1" s="1"/>
  <c r="AK646" i="1"/>
  <c r="AE646" i="1"/>
  <c r="B646" i="1"/>
  <c r="AO645" i="1"/>
  <c r="AL645" i="1"/>
  <c r="AM645" i="1" s="1"/>
  <c r="AK645" i="1"/>
  <c r="AE645" i="1"/>
  <c r="B645" i="1"/>
  <c r="AO644" i="1"/>
  <c r="AL644" i="1"/>
  <c r="AM644" i="1" s="1"/>
  <c r="AK644" i="1"/>
  <c r="AE644" i="1"/>
  <c r="B644" i="1"/>
  <c r="AO643" i="1"/>
  <c r="AL643" i="1"/>
  <c r="AM643" i="1" s="1"/>
  <c r="AK643" i="1"/>
  <c r="AE643" i="1"/>
  <c r="B643" i="1"/>
  <c r="AO642" i="1"/>
  <c r="AL642" i="1"/>
  <c r="AM642" i="1" s="1"/>
  <c r="AK642" i="1"/>
  <c r="AE642" i="1"/>
  <c r="B642" i="1"/>
  <c r="AO641" i="1"/>
  <c r="AL641" i="1"/>
  <c r="AM641" i="1" s="1"/>
  <c r="AK641" i="1"/>
  <c r="AE641" i="1"/>
  <c r="B641" i="1"/>
  <c r="AO640" i="1"/>
  <c r="AL640" i="1"/>
  <c r="AM640" i="1" s="1"/>
  <c r="AK640" i="1"/>
  <c r="AE640" i="1"/>
  <c r="B640" i="1"/>
  <c r="AO639" i="1"/>
  <c r="AM639" i="1"/>
  <c r="AK639" i="1"/>
  <c r="AE639" i="1"/>
  <c r="B639" i="1"/>
  <c r="AO638" i="1"/>
  <c r="AL638" i="1"/>
  <c r="AM638" i="1" s="1"/>
  <c r="AK638" i="1"/>
  <c r="AE638" i="1"/>
  <c r="B638" i="1"/>
  <c r="AO637" i="1"/>
  <c r="AL637" i="1"/>
  <c r="AM637" i="1" s="1"/>
  <c r="AK637" i="1"/>
  <c r="AE637" i="1"/>
  <c r="B637" i="1"/>
  <c r="AO636" i="1"/>
  <c r="AM636" i="1"/>
  <c r="AK636" i="1"/>
  <c r="AE636" i="1"/>
  <c r="B636" i="1"/>
  <c r="AO635" i="1"/>
  <c r="AM635" i="1"/>
  <c r="AK635" i="1"/>
  <c r="AE635" i="1"/>
  <c r="B635" i="1"/>
  <c r="AO634" i="1"/>
  <c r="AL634" i="1"/>
  <c r="AM634" i="1" s="1"/>
  <c r="AK634" i="1"/>
  <c r="AE634" i="1"/>
  <c r="B634" i="1"/>
  <c r="AO633" i="1"/>
  <c r="AL633" i="1"/>
  <c r="AM633" i="1" s="1"/>
  <c r="AK633" i="1"/>
  <c r="AE633" i="1"/>
  <c r="B633" i="1"/>
  <c r="AO632" i="1"/>
  <c r="AL632" i="1"/>
  <c r="AM632" i="1" s="1"/>
  <c r="AK632" i="1"/>
  <c r="AE632" i="1"/>
  <c r="B632" i="1"/>
  <c r="AO631" i="1"/>
  <c r="AL631" i="1"/>
  <c r="AM631" i="1" s="1"/>
  <c r="AK631" i="1"/>
  <c r="AE631" i="1"/>
  <c r="B631" i="1"/>
  <c r="AO630" i="1"/>
  <c r="AL630" i="1"/>
  <c r="AM630" i="1" s="1"/>
  <c r="AK630" i="1"/>
  <c r="AE630" i="1"/>
  <c r="B630" i="1"/>
  <c r="AO629" i="1"/>
  <c r="AL629" i="1"/>
  <c r="AM629" i="1" s="1"/>
  <c r="AK629" i="1"/>
  <c r="AE629" i="1"/>
  <c r="B629" i="1"/>
  <c r="AO628" i="1"/>
  <c r="AM628" i="1"/>
  <c r="AK628" i="1"/>
  <c r="AE628" i="1"/>
  <c r="B628" i="1"/>
  <c r="AO627" i="1"/>
  <c r="AL627" i="1"/>
  <c r="AM627" i="1" s="1"/>
  <c r="AK627" i="1"/>
  <c r="AE627" i="1"/>
  <c r="B627" i="1"/>
  <c r="AO626" i="1"/>
  <c r="AM626" i="1"/>
  <c r="AK626" i="1"/>
  <c r="AE626" i="1"/>
  <c r="B626" i="1"/>
  <c r="AO625" i="1"/>
  <c r="AL625" i="1"/>
  <c r="AM625" i="1" s="1"/>
  <c r="AK625" i="1"/>
  <c r="AE625" i="1"/>
  <c r="B625" i="1"/>
  <c r="AO624" i="1"/>
  <c r="AL624" i="1"/>
  <c r="AM624" i="1" s="1"/>
  <c r="AK624" i="1"/>
  <c r="AE624" i="1"/>
  <c r="B624" i="1"/>
  <c r="AO623" i="1"/>
  <c r="AL623" i="1"/>
  <c r="AM623" i="1" s="1"/>
  <c r="AK623" i="1"/>
  <c r="AE623" i="1"/>
  <c r="B623" i="1"/>
  <c r="AO622" i="1"/>
  <c r="AL622" i="1"/>
  <c r="AM622" i="1" s="1"/>
  <c r="AK622" i="1"/>
  <c r="AE622" i="1"/>
  <c r="B622" i="1"/>
  <c r="AO621" i="1"/>
  <c r="AM621" i="1"/>
  <c r="AK621" i="1"/>
  <c r="AE621" i="1"/>
  <c r="B621" i="1"/>
  <c r="AO620" i="1"/>
  <c r="AM620" i="1"/>
  <c r="AK620" i="1"/>
  <c r="AE620" i="1"/>
  <c r="B620" i="1"/>
  <c r="AO619" i="1"/>
  <c r="AL619" i="1"/>
  <c r="AM619" i="1" s="1"/>
  <c r="AK619" i="1"/>
  <c r="AE619" i="1"/>
  <c r="B619" i="1"/>
  <c r="AO618" i="1"/>
  <c r="AL618" i="1"/>
  <c r="AM618" i="1" s="1"/>
  <c r="AK618" i="1"/>
  <c r="AE618" i="1"/>
  <c r="B618" i="1"/>
  <c r="AO617" i="1"/>
  <c r="AL617" i="1"/>
  <c r="AM617" i="1" s="1"/>
  <c r="AK617" i="1"/>
  <c r="AE617" i="1"/>
  <c r="B617" i="1"/>
  <c r="AO616" i="1"/>
  <c r="AL616" i="1"/>
  <c r="AM616" i="1" s="1"/>
  <c r="AK616" i="1"/>
  <c r="AE616" i="1"/>
  <c r="B616" i="1"/>
  <c r="AO615" i="1"/>
  <c r="AL615" i="1"/>
  <c r="AM615" i="1" s="1"/>
  <c r="AK615" i="1"/>
  <c r="AE615" i="1"/>
  <c r="B615" i="1"/>
  <c r="AO614" i="1"/>
  <c r="AL614" i="1"/>
  <c r="AM614" i="1" s="1"/>
  <c r="AK614" i="1"/>
  <c r="AE614" i="1"/>
  <c r="B614" i="1"/>
  <c r="AO613" i="1"/>
  <c r="AL613" i="1"/>
  <c r="AM613" i="1" s="1"/>
  <c r="AK613" i="1"/>
  <c r="AE613" i="1"/>
  <c r="B613" i="1"/>
  <c r="AO612" i="1"/>
  <c r="AL612" i="1"/>
  <c r="AM612" i="1" s="1"/>
  <c r="AK612" i="1"/>
  <c r="AE612" i="1"/>
  <c r="B612" i="1"/>
  <c r="AO611" i="1"/>
  <c r="AL611" i="1"/>
  <c r="AM611" i="1" s="1"/>
  <c r="AK611" i="1"/>
  <c r="AE611" i="1"/>
  <c r="B611" i="1"/>
  <c r="AO610" i="1"/>
  <c r="AL610" i="1"/>
  <c r="AM610" i="1" s="1"/>
  <c r="AK610" i="1"/>
  <c r="AE610" i="1"/>
  <c r="B610" i="1"/>
  <c r="AO609" i="1"/>
  <c r="AL609" i="1"/>
  <c r="AM609" i="1" s="1"/>
  <c r="AK609" i="1"/>
  <c r="AE609" i="1"/>
  <c r="B609" i="1"/>
  <c r="AO608" i="1"/>
  <c r="AL608" i="1"/>
  <c r="AM608" i="1" s="1"/>
  <c r="AK608" i="1"/>
  <c r="AE608" i="1"/>
  <c r="B608" i="1"/>
  <c r="AO607" i="1"/>
  <c r="AL607" i="1"/>
  <c r="AM607" i="1" s="1"/>
  <c r="AK607" i="1"/>
  <c r="AE607" i="1"/>
  <c r="B607" i="1"/>
  <c r="AO606" i="1"/>
  <c r="AM606" i="1"/>
  <c r="AK606" i="1"/>
  <c r="AE606" i="1"/>
  <c r="B606" i="1"/>
  <c r="AO605" i="1"/>
  <c r="AM605" i="1"/>
  <c r="AK605" i="1"/>
  <c r="AE605" i="1"/>
  <c r="B605" i="1"/>
  <c r="AO604" i="1"/>
  <c r="AM604" i="1"/>
  <c r="AK604" i="1"/>
  <c r="AE604" i="1"/>
  <c r="B604" i="1"/>
  <c r="AO603" i="1"/>
  <c r="AM603" i="1"/>
  <c r="AK603" i="1"/>
  <c r="AE603" i="1"/>
  <c r="B603" i="1"/>
  <c r="AM602" i="1"/>
  <c r="AK602" i="1"/>
  <c r="S602" i="1"/>
  <c r="AO602" i="1" s="1"/>
  <c r="B602" i="1"/>
  <c r="AL601" i="1"/>
  <c r="AM601" i="1" s="1"/>
  <c r="AK601" i="1"/>
  <c r="S601" i="1"/>
  <c r="AE601" i="1" s="1"/>
  <c r="B601" i="1"/>
  <c r="AL600" i="1"/>
  <c r="AM600" i="1" s="1"/>
  <c r="AK600" i="1"/>
  <c r="S600" i="1"/>
  <c r="AO600" i="1" s="1"/>
  <c r="B600" i="1"/>
  <c r="AM599" i="1"/>
  <c r="AK599" i="1"/>
  <c r="S599" i="1"/>
  <c r="AO599" i="1" s="1"/>
  <c r="B599" i="1"/>
  <c r="AO598" i="1"/>
  <c r="AM598" i="1"/>
  <c r="AK598" i="1"/>
  <c r="AE598" i="1"/>
  <c r="B598" i="1"/>
  <c r="AO597" i="1"/>
  <c r="AM597" i="1"/>
  <c r="AK597" i="1"/>
  <c r="AE597" i="1"/>
  <c r="B597" i="1"/>
  <c r="AO596" i="1"/>
  <c r="AM596" i="1"/>
  <c r="AK596" i="1"/>
  <c r="AE596" i="1"/>
  <c r="B596" i="1"/>
  <c r="AE1039" i="1" l="1"/>
  <c r="AE1029" i="1"/>
  <c r="AE1021" i="1"/>
  <c r="AE1038" i="1"/>
  <c r="AE1023" i="1"/>
  <c r="AE960" i="1"/>
  <c r="AE934" i="1"/>
  <c r="AE951" i="1"/>
  <c r="AE1017" i="1"/>
  <c r="AE1025" i="1"/>
  <c r="AE1035" i="1"/>
  <c r="AE1019" i="1"/>
  <c r="AE1027" i="1"/>
  <c r="AE1037" i="1"/>
  <c r="AE928" i="1"/>
  <c r="AE949" i="1"/>
  <c r="AE602" i="1"/>
  <c r="AE938" i="1"/>
  <c r="AE1005" i="1"/>
  <c r="AE1018" i="1"/>
  <c r="AE1022" i="1"/>
  <c r="AE1026" i="1"/>
  <c r="AE1036" i="1"/>
  <c r="AE1040" i="1"/>
  <c r="AO960" i="1"/>
  <c r="AE599" i="1"/>
  <c r="AE937" i="1"/>
  <c r="AE1016" i="1"/>
  <c r="AE1020" i="1"/>
  <c r="AE1024" i="1"/>
  <c r="AE1028" i="1"/>
  <c r="AE1034" i="1"/>
  <c r="AO601" i="1"/>
  <c r="AE600" i="1"/>
  <c r="AE1031" i="1"/>
  <c r="AE1033" i="1"/>
  <c r="AO1030" i="1"/>
  <c r="AO1032" i="1"/>
  <c r="AO927" i="1"/>
  <c r="AO935" i="1"/>
  <c r="AO1006" i="1"/>
  <c r="AP595" i="1"/>
  <c r="AE595" i="1"/>
  <c r="H595" i="1"/>
  <c r="AP594" i="1"/>
  <c r="AE594" i="1"/>
  <c r="AP593" i="1"/>
  <c r="AE593" i="1"/>
  <c r="AP592" i="1"/>
  <c r="AE592" i="1"/>
  <c r="AP591" i="1"/>
  <c r="AE591" i="1"/>
  <c r="AP590" i="1"/>
  <c r="AE590" i="1"/>
  <c r="AP589" i="1"/>
  <c r="AE589" i="1"/>
  <c r="AP588" i="1"/>
  <c r="AE588" i="1"/>
  <c r="AP587" i="1"/>
  <c r="AE587" i="1"/>
  <c r="AP586" i="1"/>
  <c r="AE586" i="1"/>
  <c r="AP585" i="1"/>
  <c r="AE585" i="1"/>
  <c r="AP584" i="1"/>
  <c r="AE584" i="1"/>
  <c r="AP583" i="1"/>
  <c r="AE583" i="1"/>
  <c r="AP582" i="1"/>
  <c r="AE582" i="1"/>
  <c r="AP581" i="1"/>
  <c r="AE581" i="1"/>
  <c r="S580" i="1"/>
  <c r="AE580" i="1" s="1"/>
  <c r="AP579" i="1"/>
  <c r="AE579" i="1"/>
  <c r="S578" i="1"/>
  <c r="AE578" i="1" s="1"/>
  <c r="AP577" i="1"/>
  <c r="AE577" i="1"/>
  <c r="AP576" i="1"/>
  <c r="AP575" i="1"/>
  <c r="AE575" i="1"/>
  <c r="AP574" i="1"/>
  <c r="AE574" i="1"/>
  <c r="AP573" i="1"/>
  <c r="AE573" i="1"/>
  <c r="AP572" i="1"/>
  <c r="AE572" i="1"/>
  <c r="AP571" i="1"/>
  <c r="AE571" i="1"/>
  <c r="AP570" i="1"/>
  <c r="AP569" i="1"/>
  <c r="AP568" i="1"/>
  <c r="AP567" i="1"/>
  <c r="AP566" i="1"/>
  <c r="AE566" i="1"/>
  <c r="AP565" i="1"/>
  <c r="AE565" i="1"/>
  <c r="AP564" i="1"/>
  <c r="AE564" i="1"/>
  <c r="AP563" i="1"/>
  <c r="AE563" i="1"/>
  <c r="AP562" i="1"/>
  <c r="AE562" i="1"/>
  <c r="AP561" i="1"/>
  <c r="AE561" i="1"/>
  <c r="AP560" i="1"/>
  <c r="AE560" i="1"/>
  <c r="AP559" i="1"/>
  <c r="AE559" i="1"/>
  <c r="AP558" i="1"/>
  <c r="AE558" i="1"/>
  <c r="AP557" i="1"/>
  <c r="AE557" i="1"/>
  <c r="AP556" i="1"/>
  <c r="AE556" i="1"/>
  <c r="AP555" i="1"/>
  <c r="AE555" i="1"/>
  <c r="AP554" i="1"/>
  <c r="AE554" i="1"/>
  <c r="AP553" i="1"/>
  <c r="AE553" i="1"/>
  <c r="AP552" i="1"/>
  <c r="AE552" i="1"/>
  <c r="AP551" i="1"/>
  <c r="AE551" i="1"/>
  <c r="AP550" i="1"/>
  <c r="AE550" i="1"/>
  <c r="AP549" i="1"/>
  <c r="AE549" i="1"/>
  <c r="AP548" i="1"/>
  <c r="AE548" i="1"/>
  <c r="AP547" i="1"/>
  <c r="AE547" i="1"/>
  <c r="AP546" i="1"/>
  <c r="AE546" i="1"/>
  <c r="AP545" i="1"/>
  <c r="AE545" i="1"/>
  <c r="AP544" i="1"/>
  <c r="AE544" i="1"/>
  <c r="AP543" i="1"/>
  <c r="AE543" i="1"/>
  <c r="AP542" i="1"/>
  <c r="AE542" i="1"/>
  <c r="AP541" i="1"/>
  <c r="AE541" i="1"/>
  <c r="AP540" i="1"/>
  <c r="AE540" i="1"/>
  <c r="AP539" i="1"/>
  <c r="AE539" i="1"/>
  <c r="AP538" i="1"/>
  <c r="AE538" i="1"/>
  <c r="AP537" i="1"/>
  <c r="AE537" i="1"/>
  <c r="AP536" i="1"/>
  <c r="AE536" i="1"/>
  <c r="AP535" i="1"/>
  <c r="AE535" i="1"/>
  <c r="AP534" i="1"/>
  <c r="AE534" i="1"/>
  <c r="AP533" i="1"/>
  <c r="AE533" i="1"/>
  <c r="AP532" i="1"/>
  <c r="AE532" i="1"/>
  <c r="AP531" i="1"/>
  <c r="AE531" i="1"/>
  <c r="AP530" i="1"/>
  <c r="AE530" i="1"/>
  <c r="AP529" i="1"/>
  <c r="AE529" i="1"/>
  <c r="AP528" i="1"/>
  <c r="AE528" i="1"/>
  <c r="AP527" i="1"/>
  <c r="AE527" i="1"/>
  <c r="AP526" i="1"/>
  <c r="AE526" i="1"/>
  <c r="AP525" i="1"/>
  <c r="AE525" i="1"/>
  <c r="AP524" i="1"/>
  <c r="AE524" i="1"/>
  <c r="AP523" i="1"/>
  <c r="AE523" i="1"/>
  <c r="AP522" i="1"/>
  <c r="AE522" i="1"/>
  <c r="AP521" i="1"/>
  <c r="AE521" i="1"/>
  <c r="AP520" i="1"/>
  <c r="AE520" i="1"/>
  <c r="AP519" i="1"/>
  <c r="AE519" i="1"/>
  <c r="AP518" i="1"/>
  <c r="AE518" i="1"/>
  <c r="AP517" i="1"/>
  <c r="AE517" i="1"/>
  <c r="AP516" i="1"/>
  <c r="AE516" i="1"/>
  <c r="AP515" i="1"/>
  <c r="AE515" i="1"/>
  <c r="AP514" i="1"/>
  <c r="AE514" i="1"/>
  <c r="AP513" i="1"/>
  <c r="AP512" i="1"/>
  <c r="AE512" i="1"/>
  <c r="AP511" i="1"/>
  <c r="AP510" i="1"/>
  <c r="AE510" i="1"/>
  <c r="AP509" i="1"/>
  <c r="AE509" i="1"/>
  <c r="AP508" i="1"/>
  <c r="AP507" i="1"/>
  <c r="AE507" i="1"/>
  <c r="AP506" i="1"/>
  <c r="AP505" i="1"/>
  <c r="AE505" i="1"/>
  <c r="AP504" i="1"/>
  <c r="AE504" i="1"/>
  <c r="AP503" i="1"/>
  <c r="AE503" i="1"/>
  <c r="AP502" i="1"/>
  <c r="AE502" i="1"/>
  <c r="AP501" i="1"/>
  <c r="AE501" i="1"/>
  <c r="AP500" i="1"/>
  <c r="AE500" i="1"/>
  <c r="AP499" i="1"/>
  <c r="AE499" i="1"/>
  <c r="AP498" i="1"/>
  <c r="AE498" i="1"/>
  <c r="AP497" i="1"/>
  <c r="AE497" i="1"/>
  <c r="AP580" i="1" l="1"/>
  <c r="AP578" i="1"/>
  <c r="AE496" i="1"/>
  <c r="AE495" i="1"/>
  <c r="AE494" i="1"/>
  <c r="AE493" i="1"/>
  <c r="AE492" i="1"/>
  <c r="AE491" i="1"/>
  <c r="AE489" i="1"/>
  <c r="AE488" i="1"/>
  <c r="AE483" i="1"/>
  <c r="P483" i="1"/>
  <c r="AE482" i="1"/>
  <c r="AE481" i="1"/>
  <c r="P481" i="1"/>
  <c r="AE480" i="1"/>
  <c r="P480" i="1"/>
  <c r="AE479" i="1"/>
  <c r="AE478" i="1"/>
  <c r="AE477" i="1"/>
  <c r="AE476" i="1"/>
  <c r="AE475" i="1"/>
  <c r="AE474" i="1"/>
  <c r="AE473" i="1"/>
  <c r="S472" i="1"/>
  <c r="AE472" i="1" s="1"/>
  <c r="AE471" i="1"/>
  <c r="S470" i="1"/>
  <c r="AE470" i="1" s="1"/>
  <c r="AE469" i="1"/>
  <c r="AE468" i="1"/>
  <c r="AE467" i="1"/>
  <c r="P467" i="1"/>
  <c r="AE466" i="1"/>
  <c r="AE465" i="1"/>
  <c r="AE464" i="1"/>
  <c r="AE463" i="1"/>
  <c r="AD462" i="1"/>
  <c r="Z462" i="1"/>
  <c r="S462" i="1"/>
  <c r="AE461" i="1"/>
  <c r="AE460" i="1"/>
  <c r="S459" i="1"/>
  <c r="AE459" i="1" s="1"/>
  <c r="AE458" i="1"/>
  <c r="AE457" i="1"/>
  <c r="AE456" i="1"/>
  <c r="S455" i="1"/>
  <c r="AE455" i="1" s="1"/>
  <c r="Q455" i="1"/>
  <c r="AE454" i="1"/>
  <c r="S453" i="1"/>
  <c r="AE453" i="1" s="1"/>
  <c r="Q453" i="1"/>
  <c r="S452" i="1"/>
  <c r="AE452" i="1" s="1"/>
  <c r="Q452" i="1"/>
  <c r="S451" i="1"/>
  <c r="AE451" i="1" s="1"/>
  <c r="Q451" i="1"/>
  <c r="AE450" i="1"/>
  <c r="U450" i="1"/>
  <c r="P450" i="1"/>
  <c r="S449" i="1"/>
  <c r="AE449" i="1" s="1"/>
  <c r="AE448" i="1"/>
  <c r="AE447" i="1"/>
  <c r="AE446" i="1"/>
  <c r="AE445" i="1"/>
  <c r="AE444" i="1"/>
  <c r="AE443" i="1"/>
  <c r="AE442" i="1"/>
  <c r="AE441" i="1"/>
  <c r="AE440" i="1"/>
  <c r="AE439" i="1"/>
  <c r="AE438" i="1"/>
  <c r="AE437" i="1"/>
  <c r="AE436" i="1"/>
  <c r="AE435" i="1"/>
  <c r="AE434" i="1"/>
  <c r="AE433" i="1"/>
  <c r="AE432" i="1"/>
  <c r="AE431" i="1"/>
  <c r="AE430" i="1"/>
  <c r="Z429" i="1"/>
  <c r="AE429" i="1" s="1"/>
  <c r="AE428" i="1"/>
  <c r="AE427" i="1"/>
  <c r="AE426" i="1"/>
  <c r="AE425" i="1"/>
  <c r="AE424" i="1"/>
  <c r="AE423" i="1"/>
  <c r="AE422" i="1"/>
  <c r="AE421" i="1"/>
  <c r="AE420" i="1"/>
  <c r="W420" i="1"/>
  <c r="AE419" i="1"/>
  <c r="AE418" i="1"/>
  <c r="AE417" i="1"/>
  <c r="AE416" i="1"/>
  <c r="Q416" i="1"/>
  <c r="P416" i="1"/>
  <c r="AE415" i="1"/>
  <c r="AE414" i="1"/>
  <c r="AE413" i="1"/>
  <c r="Q413" i="1"/>
  <c r="P413" i="1"/>
  <c r="AE412" i="1"/>
  <c r="AE411" i="1"/>
  <c r="AE410" i="1"/>
  <c r="AE409" i="1"/>
  <c r="AE408" i="1"/>
  <c r="AE407" i="1"/>
  <c r="AE406" i="1"/>
  <c r="AE405" i="1"/>
  <c r="AE404" i="1"/>
  <c r="AE403" i="1"/>
  <c r="AE402" i="1"/>
  <c r="AE401" i="1"/>
  <c r="AE400" i="1"/>
  <c r="AE399" i="1"/>
  <c r="A399" i="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E398" i="1"/>
  <c r="AE462" i="1" l="1"/>
  <c r="S396" i="1"/>
  <c r="AL395" i="1"/>
  <c r="AN395" i="1" s="1"/>
  <c r="AN394" i="1"/>
  <c r="S394" i="1"/>
  <c r="AN393" i="1"/>
  <c r="AN392" i="1"/>
  <c r="AN391" i="1"/>
  <c r="AL362" i="1"/>
  <c r="AN362" i="1" s="1"/>
  <c r="S362" i="1"/>
  <c r="AN361" i="1"/>
  <c r="S361" i="1"/>
  <c r="AN360" i="1"/>
  <c r="AL357" i="1"/>
  <c r="AN357" i="1" s="1"/>
  <c r="AL356" i="1"/>
  <c r="AN356" i="1" s="1"/>
  <c r="AN354" i="1"/>
  <c r="AL353" i="1"/>
  <c r="AN353" i="1" s="1"/>
  <c r="AL352" i="1"/>
  <c r="AN352" i="1" s="1"/>
  <c r="AL351" i="1"/>
  <c r="AN351" i="1" s="1"/>
  <c r="AL350" i="1"/>
  <c r="AN350" i="1" s="1"/>
  <c r="AL349" i="1"/>
  <c r="AN349" i="1" s="1"/>
  <c r="AL348" i="1"/>
  <c r="AN348" i="1" s="1"/>
  <c r="S348" i="1"/>
  <c r="AL347" i="1"/>
  <c r="AN347" i="1" s="1"/>
  <c r="AL346" i="1"/>
  <c r="AN346" i="1" s="1"/>
  <c r="AL345" i="1"/>
  <c r="AN345" i="1" s="1"/>
  <c r="AL344" i="1"/>
  <c r="AN344" i="1" s="1"/>
  <c r="AL343" i="1"/>
  <c r="AN343" i="1" s="1"/>
  <c r="AL342" i="1"/>
  <c r="AN342" i="1" s="1"/>
  <c r="AL341" i="1"/>
  <c r="AN341" i="1" s="1"/>
  <c r="Z340" i="1"/>
  <c r="AL339" i="1"/>
  <c r="AN339" i="1" s="1"/>
  <c r="AL338" i="1"/>
  <c r="AN338" i="1" s="1"/>
  <c r="AL337" i="1"/>
  <c r="AN337" i="1" s="1"/>
  <c r="AL336" i="1"/>
  <c r="AN336" i="1" s="1"/>
  <c r="AL335" i="1"/>
  <c r="AN335" i="1" s="1"/>
  <c r="AL334" i="1"/>
  <c r="AN334" i="1" s="1"/>
  <c r="AL333" i="1"/>
  <c r="AN333" i="1" s="1"/>
  <c r="AL332" i="1"/>
  <c r="AN332" i="1" s="1"/>
  <c r="AL331" i="1"/>
  <c r="AN331" i="1" s="1"/>
  <c r="AL330" i="1"/>
  <c r="AN330" i="1" s="1"/>
  <c r="AL329" i="1"/>
  <c r="AN329" i="1" s="1"/>
  <c r="AL326" i="1"/>
  <c r="AN326" i="1" s="1"/>
  <c r="AL325" i="1"/>
  <c r="AN325" i="1" s="1"/>
  <c r="AL324" i="1"/>
  <c r="AN324" i="1" s="1"/>
  <c r="AL323" i="1"/>
  <c r="AN323" i="1" s="1"/>
  <c r="AL322" i="1"/>
  <c r="AN322" i="1" s="1"/>
  <c r="AL321" i="1"/>
  <c r="AN321" i="1" s="1"/>
  <c r="AL320" i="1"/>
  <c r="AN320" i="1" s="1"/>
  <c r="AL319" i="1"/>
  <c r="AN319" i="1" s="1"/>
  <c r="AL318" i="1"/>
  <c r="AN318" i="1" s="1"/>
  <c r="AL317" i="1"/>
  <c r="AN317" i="1" s="1"/>
  <c r="AN314" i="1"/>
  <c r="AL313" i="1"/>
  <c r="AN313" i="1" s="1"/>
  <c r="AL312" i="1"/>
  <c r="AN312" i="1" s="1"/>
  <c r="AL311" i="1"/>
  <c r="AN311" i="1" s="1"/>
  <c r="AL310" i="1"/>
  <c r="AN310" i="1" s="1"/>
  <c r="S307" i="1"/>
  <c r="AM304" i="1" l="1"/>
  <c r="AE304" i="1"/>
  <c r="AM303" i="1"/>
  <c r="Q303" i="1"/>
  <c r="AM302" i="1"/>
  <c r="S302" i="1"/>
  <c r="Q302" i="1" s="1"/>
  <c r="AM301" i="1"/>
  <c r="AE301" i="1"/>
  <c r="AM300" i="1"/>
  <c r="AE300" i="1"/>
  <c r="AM299" i="1"/>
  <c r="AE299" i="1"/>
  <c r="AM298" i="1"/>
  <c r="AE298" i="1"/>
  <c r="AM297" i="1"/>
  <c r="S297" i="1"/>
  <c r="AE297" i="1" s="1"/>
  <c r="AM296" i="1"/>
  <c r="S296" i="1"/>
  <c r="AE296" i="1" s="1"/>
  <c r="AM295" i="1"/>
  <c r="AE295" i="1"/>
  <c r="Q295" i="1"/>
  <c r="AM294" i="1"/>
  <c r="AE294" i="1"/>
  <c r="Q294" i="1"/>
  <c r="AM293" i="1"/>
  <c r="S293" i="1"/>
  <c r="AE293" i="1" s="1"/>
  <c r="AM292" i="1"/>
  <c r="AE292" i="1"/>
  <c r="AM291" i="1"/>
  <c r="S291" i="1"/>
  <c r="AE291" i="1" s="1"/>
  <c r="AM290" i="1"/>
  <c r="AE290" i="1"/>
  <c r="AM289" i="1"/>
  <c r="S289" i="1"/>
  <c r="AE289" i="1" s="1"/>
  <c r="AM288" i="1"/>
  <c r="AE288" i="1"/>
  <c r="AM287" i="1"/>
  <c r="AE287" i="1"/>
  <c r="AM286" i="1"/>
  <c r="S286" i="1"/>
  <c r="AE286" i="1" s="1"/>
  <c r="AM285" i="1"/>
  <c r="S285" i="1"/>
  <c r="AE285" i="1" s="1"/>
  <c r="AM284" i="1"/>
  <c r="S284" i="1"/>
  <c r="AE284" i="1" s="1"/>
  <c r="AM283" i="1"/>
  <c r="AE283" i="1"/>
  <c r="AM282" i="1"/>
  <c r="AE282" i="1"/>
  <c r="AM281" i="1"/>
  <c r="S281" i="1"/>
  <c r="AE281" i="1" s="1"/>
  <c r="AM280" i="1"/>
  <c r="AE280" i="1"/>
  <c r="AM279" i="1"/>
  <c r="AE279" i="1"/>
  <c r="AM278" i="1"/>
  <c r="AE278" i="1"/>
  <c r="AM277" i="1"/>
  <c r="S277" i="1"/>
  <c r="AE277" i="1" s="1"/>
  <c r="AM276" i="1"/>
  <c r="AE276" i="1"/>
  <c r="AM275" i="1"/>
  <c r="AE275" i="1"/>
  <c r="AM274" i="1"/>
  <c r="AE274" i="1"/>
  <c r="A274" i="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M273" i="1"/>
  <c r="AE273" i="1"/>
  <c r="W272" i="1" l="1"/>
  <c r="Q270" i="1"/>
  <c r="AM269" i="1"/>
  <c r="S269" i="1"/>
  <c r="AE269" i="1" s="1"/>
  <c r="AM268" i="1"/>
  <c r="AE268" i="1"/>
  <c r="AM267" i="1"/>
  <c r="AE267" i="1"/>
  <c r="AM266" i="1"/>
  <c r="AE266" i="1"/>
  <c r="AM265" i="1"/>
  <c r="AE265" i="1"/>
  <c r="AM264" i="1"/>
  <c r="AE264" i="1"/>
  <c r="AM263" i="1"/>
  <c r="AE263" i="1"/>
  <c r="AM262" i="1"/>
  <c r="AE262" i="1"/>
  <c r="AM261" i="1"/>
  <c r="AE261" i="1"/>
  <c r="AN260" i="1" l="1"/>
  <c r="AN259" i="1"/>
  <c r="AN258" i="1"/>
  <c r="AN257" i="1"/>
  <c r="AN256" i="1"/>
  <c r="AN255" i="1"/>
  <c r="AN254" i="1"/>
  <c r="AN253" i="1"/>
  <c r="AN252" i="1"/>
  <c r="AH251" i="1"/>
  <c r="AL251" i="1" s="1"/>
  <c r="AM251" i="1" s="1"/>
  <c r="AH250" i="1"/>
  <c r="AL250" i="1" s="1"/>
  <c r="AN249" i="1"/>
  <c r="AN248" i="1"/>
  <c r="Z247" i="1"/>
  <c r="AN246" i="1"/>
  <c r="AN244" i="1"/>
  <c r="Z243" i="1"/>
  <c r="AH242" i="1"/>
  <c r="AL242" i="1" s="1"/>
  <c r="AN242" i="1" s="1"/>
  <c r="Z242" i="1"/>
  <c r="S241" i="1"/>
  <c r="S240" i="1"/>
  <c r="AL238" i="1"/>
  <c r="AM238" i="1" s="1"/>
  <c r="AN238" i="1" s="1"/>
  <c r="AN237" i="1"/>
  <c r="Z237" i="1"/>
  <c r="AH236" i="1"/>
  <c r="AL236" i="1" s="1"/>
  <c r="AE236" i="1" s="1"/>
  <c r="S236" i="1"/>
  <c r="Z236" i="1" s="1"/>
  <c r="AH235" i="1"/>
  <c r="AL235" i="1" s="1"/>
  <c r="Z235" i="1"/>
  <c r="Z234" i="1"/>
  <c r="AH234" i="1" s="1"/>
  <c r="AL234" i="1" s="1"/>
  <c r="AN234" i="1" s="1"/>
  <c r="AL233" i="1"/>
  <c r="Z233" i="1"/>
  <c r="AH232" i="1"/>
  <c r="AL232" i="1" s="1"/>
  <c r="AE232" i="1" s="1"/>
  <c r="Z232" i="1"/>
  <c r="AH231" i="1"/>
  <c r="AL231" i="1" s="1"/>
  <c r="Z231" i="1"/>
  <c r="A231" i="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S230" i="1"/>
  <c r="Z230" i="1" s="1"/>
  <c r="AD230" i="1" s="1"/>
  <c r="S229" i="1"/>
  <c r="S228" i="1"/>
  <c r="Q228" i="1" s="1"/>
  <c r="S227" i="1"/>
  <c r="Z227" i="1" s="1"/>
  <c r="S226" i="1"/>
  <c r="Q226" i="1" s="1"/>
  <c r="S225" i="1"/>
  <c r="Z224" i="1"/>
  <c r="Q224" i="1"/>
  <c r="Z223" i="1"/>
  <c r="Q223" i="1"/>
  <c r="S222" i="1"/>
  <c r="Q222" i="1" s="1"/>
  <c r="Z221" i="1"/>
  <c r="Q221" i="1"/>
  <c r="AN220" i="1"/>
  <c r="S220" i="1"/>
  <c r="Z220" i="1" s="1"/>
  <c r="AH219" i="1"/>
  <c r="AL219" i="1" s="1"/>
  <c r="S219" i="1"/>
  <c r="Z219" i="1" s="1"/>
  <c r="AH218" i="1"/>
  <c r="AL218" i="1" s="1"/>
  <c r="AE218" i="1" s="1"/>
  <c r="S218" i="1"/>
  <c r="Z218" i="1" s="1"/>
  <c r="AH217" i="1"/>
  <c r="AL217" i="1" s="1"/>
  <c r="S217" i="1"/>
  <c r="Z217" i="1" s="1"/>
  <c r="AH216" i="1"/>
  <c r="AL216" i="1" s="1"/>
  <c r="AE216" i="1" s="1"/>
  <c r="S216" i="1"/>
  <c r="Z216" i="1" s="1"/>
  <c r="AL215" i="1"/>
  <c r="AN215" i="1" s="1"/>
  <c r="S215" i="1"/>
  <c r="Z215" i="1" s="1"/>
  <c r="AH214" i="1"/>
  <c r="AL214" i="1" s="1"/>
  <c r="S214" i="1"/>
  <c r="Z214" i="1" s="1"/>
  <c r="AH213" i="1"/>
  <c r="AL213" i="1" s="1"/>
  <c r="S213" i="1"/>
  <c r="Z213" i="1" s="1"/>
  <c r="S212" i="1"/>
  <c r="Z212" i="1" s="1"/>
  <c r="AD212" i="1" s="1"/>
  <c r="AH211" i="1"/>
  <c r="AL211" i="1" s="1"/>
  <c r="S211" i="1"/>
  <c r="Z211" i="1" s="1"/>
  <c r="AH210" i="1"/>
  <c r="AL210" i="1" s="1"/>
  <c r="AE210" i="1" s="1"/>
  <c r="S210" i="1"/>
  <c r="Z210" i="1" s="1"/>
  <c r="AL209" i="1"/>
  <c r="AE209" i="1" s="1"/>
  <c r="S209" i="1"/>
  <c r="Z209" i="1" s="1"/>
  <c r="AH208" i="1"/>
  <c r="AL208" i="1" s="1"/>
  <c r="S208" i="1"/>
  <c r="Z208" i="1" s="1"/>
  <c r="AH207" i="1"/>
  <c r="AL207" i="1" s="1"/>
  <c r="S207" i="1"/>
  <c r="Z207" i="1" s="1"/>
  <c r="AH206" i="1"/>
  <c r="AL206" i="1" s="1"/>
  <c r="S206" i="1"/>
  <c r="Z206" i="1" s="1"/>
  <c r="AH205" i="1"/>
  <c r="AL205" i="1" s="1"/>
  <c r="S205" i="1"/>
  <c r="Z205" i="1" s="1"/>
  <c r="AL204" i="1"/>
  <c r="S204" i="1"/>
  <c r="Z204" i="1" s="1"/>
  <c r="AL203" i="1"/>
  <c r="AN203" i="1" s="1"/>
  <c r="S203" i="1"/>
  <c r="Z203" i="1" s="1"/>
  <c r="AH202" i="1"/>
  <c r="AL202" i="1" s="1"/>
  <c r="AN202" i="1" s="1"/>
  <c r="S202" i="1"/>
  <c r="Z202" i="1" s="1"/>
  <c r="AH201" i="1"/>
  <c r="AL201" i="1" s="1"/>
  <c r="S201" i="1"/>
  <c r="Z201" i="1" s="1"/>
  <c r="AH200" i="1"/>
  <c r="AL200" i="1" s="1"/>
  <c r="S200" i="1"/>
  <c r="Z200" i="1" s="1"/>
  <c r="AH199" i="1"/>
  <c r="AL199" i="1" s="1"/>
  <c r="S199" i="1"/>
  <c r="Z199" i="1" s="1"/>
  <c r="AH198" i="1"/>
  <c r="AL198" i="1" s="1"/>
  <c r="S198" i="1"/>
  <c r="Z198" i="1" s="1"/>
  <c r="AH197" i="1"/>
  <c r="AL197" i="1" s="1"/>
  <c r="S197" i="1"/>
  <c r="Z197" i="1" s="1"/>
  <c r="AH196" i="1"/>
  <c r="AL196" i="1" s="1"/>
  <c r="S196" i="1"/>
  <c r="Z196" i="1" s="1"/>
  <c r="AH195" i="1"/>
  <c r="AL195" i="1" s="1"/>
  <c r="S195" i="1"/>
  <c r="Z195" i="1" s="1"/>
  <c r="AH194" i="1"/>
  <c r="AL194" i="1" s="1"/>
  <c r="AN194" i="1" s="1"/>
  <c r="S194" i="1"/>
  <c r="Z194" i="1" s="1"/>
  <c r="AH193" i="1"/>
  <c r="AL193" i="1" s="1"/>
  <c r="S193" i="1"/>
  <c r="Z193" i="1" s="1"/>
  <c r="AH192" i="1"/>
  <c r="AL192" i="1" s="1"/>
  <c r="S192" i="1"/>
  <c r="Z192" i="1" s="1"/>
  <c r="AH191" i="1"/>
  <c r="AL191" i="1" s="1"/>
  <c r="S191" i="1"/>
  <c r="Z191" i="1" s="1"/>
  <c r="AH190" i="1"/>
  <c r="AL190" i="1" s="1"/>
  <c r="AN190" i="1" s="1"/>
  <c r="S190" i="1"/>
  <c r="Z190" i="1" s="1"/>
  <c r="AH189" i="1"/>
  <c r="AL189" i="1" s="1"/>
  <c r="S189" i="1"/>
  <c r="Z189" i="1" s="1"/>
  <c r="AH188" i="1"/>
  <c r="AL188" i="1" s="1"/>
  <c r="S188" i="1"/>
  <c r="Z188" i="1" s="1"/>
  <c r="AH187" i="1"/>
  <c r="AL187" i="1" s="1"/>
  <c r="S187" i="1"/>
  <c r="Z187" i="1" s="1"/>
  <c r="AH186" i="1"/>
  <c r="AL186" i="1" s="1"/>
  <c r="AN186" i="1" s="1"/>
  <c r="S186" i="1"/>
  <c r="Z186" i="1" s="1"/>
  <c r="AH185" i="1"/>
  <c r="AL185" i="1" s="1"/>
  <c r="S185" i="1"/>
  <c r="Z185" i="1" s="1"/>
  <c r="AH184" i="1"/>
  <c r="AL184" i="1" s="1"/>
  <c r="S184" i="1"/>
  <c r="Z184" i="1" s="1"/>
  <c r="AH183" i="1"/>
  <c r="AL183" i="1" s="1"/>
  <c r="S183" i="1"/>
  <c r="Z183" i="1" s="1"/>
  <c r="AH182" i="1"/>
  <c r="AL182" i="1" s="1"/>
  <c r="S182" i="1"/>
  <c r="Z182" i="1" s="1"/>
  <c r="AH181" i="1"/>
  <c r="AL181" i="1" s="1"/>
  <c r="S181" i="1"/>
  <c r="Z181" i="1" s="1"/>
  <c r="AH180" i="1"/>
  <c r="AL180" i="1" s="1"/>
  <c r="S180" i="1"/>
  <c r="Z180" i="1" s="1"/>
  <c r="AH179" i="1"/>
  <c r="AL179" i="1" s="1"/>
  <c r="S179" i="1"/>
  <c r="Z179" i="1" s="1"/>
  <c r="AH178" i="1"/>
  <c r="AL178" i="1" s="1"/>
  <c r="AN178" i="1" s="1"/>
  <c r="S178" i="1"/>
  <c r="Z178" i="1" s="1"/>
  <c r="AH177" i="1"/>
  <c r="AL177" i="1" s="1"/>
  <c r="S177" i="1"/>
  <c r="Z177" i="1" s="1"/>
  <c r="AH176" i="1"/>
  <c r="AL176" i="1" s="1"/>
  <c r="S176" i="1"/>
  <c r="Z176" i="1" s="1"/>
  <c r="AH175" i="1"/>
  <c r="AL175" i="1" s="1"/>
  <c r="S175" i="1"/>
  <c r="Z175" i="1" s="1"/>
  <c r="AH174" i="1"/>
  <c r="AL174" i="1" s="1"/>
  <c r="S174" i="1"/>
  <c r="Z174" i="1" s="1"/>
  <c r="AH173" i="1"/>
  <c r="AL173" i="1" s="1"/>
  <c r="S173" i="1"/>
  <c r="Z173" i="1" s="1"/>
  <c r="AH172" i="1"/>
  <c r="AL172" i="1" s="1"/>
  <c r="S172" i="1"/>
  <c r="Z172" i="1" s="1"/>
  <c r="AH171" i="1"/>
  <c r="AL171" i="1" s="1"/>
  <c r="S171" i="1"/>
  <c r="Z171" i="1" s="1"/>
  <c r="AH170" i="1"/>
  <c r="AL170" i="1" s="1"/>
  <c r="AN170" i="1" s="1"/>
  <c r="S170" i="1"/>
  <c r="Z170" i="1" s="1"/>
  <c r="AH169" i="1"/>
  <c r="AL169" i="1" s="1"/>
  <c r="S169" i="1"/>
  <c r="Z169" i="1" s="1"/>
  <c r="AH168" i="1"/>
  <c r="AL168" i="1" s="1"/>
  <c r="S168" i="1"/>
  <c r="Z168" i="1" s="1"/>
  <c r="AH167" i="1"/>
  <c r="AL167" i="1" s="1"/>
  <c r="S167" i="1"/>
  <c r="Z167" i="1" s="1"/>
  <c r="AH166" i="1"/>
  <c r="AL166" i="1" s="1"/>
  <c r="S166" i="1"/>
  <c r="Z166" i="1" s="1"/>
  <c r="AH165" i="1"/>
  <c r="AL165" i="1" s="1"/>
  <c r="S165" i="1"/>
  <c r="Z165" i="1" s="1"/>
  <c r="AH164" i="1"/>
  <c r="AL164" i="1" s="1"/>
  <c r="S164" i="1"/>
  <c r="Z164" i="1" s="1"/>
  <c r="AL163" i="1"/>
  <c r="AH163" i="1"/>
  <c r="S163" i="1"/>
  <c r="Z163" i="1" s="1"/>
  <c r="AH162" i="1"/>
  <c r="AL162" i="1" s="1"/>
  <c r="AN162" i="1" s="1"/>
  <c r="S162" i="1"/>
  <c r="Z162" i="1" s="1"/>
  <c r="AH161" i="1"/>
  <c r="AL161" i="1" s="1"/>
  <c r="S161" i="1"/>
  <c r="Z161" i="1" s="1"/>
  <c r="AH160" i="1"/>
  <c r="AL160" i="1" s="1"/>
  <c r="S160" i="1"/>
  <c r="Z160" i="1" s="1"/>
  <c r="AH159" i="1"/>
  <c r="AL159" i="1" s="1"/>
  <c r="S159" i="1"/>
  <c r="Z159" i="1" s="1"/>
  <c r="AH158" i="1"/>
  <c r="AL158" i="1" s="1"/>
  <c r="S158" i="1"/>
  <c r="Z158" i="1" s="1"/>
  <c r="AH157" i="1"/>
  <c r="AL157" i="1" s="1"/>
  <c r="S157" i="1"/>
  <c r="Z157" i="1" s="1"/>
  <c r="AH156" i="1"/>
  <c r="AL156" i="1" s="1"/>
  <c r="S156" i="1"/>
  <c r="Z156" i="1" s="1"/>
  <c r="AH155" i="1"/>
  <c r="AL155" i="1" s="1"/>
  <c r="S155" i="1"/>
  <c r="Z155" i="1" s="1"/>
  <c r="AH154" i="1"/>
  <c r="AL154" i="1" s="1"/>
  <c r="AN154" i="1" s="1"/>
  <c r="S154" i="1"/>
  <c r="Z154" i="1" s="1"/>
  <c r="AH153" i="1"/>
  <c r="AL153" i="1" s="1"/>
  <c r="AN153" i="1" s="1"/>
  <c r="S153" i="1"/>
  <c r="Z153" i="1" s="1"/>
  <c r="AH152" i="1"/>
  <c r="AL152" i="1" s="1"/>
  <c r="AN152" i="1" s="1"/>
  <c r="S152" i="1"/>
  <c r="Z152" i="1" s="1"/>
  <c r="S151" i="1"/>
  <c r="Z151" i="1" s="1"/>
  <c r="AH150" i="1"/>
  <c r="AL150" i="1" s="1"/>
  <c r="S150" i="1"/>
  <c r="Z150" i="1" s="1"/>
  <c r="AH149" i="1"/>
  <c r="AL149" i="1" s="1"/>
  <c r="S149" i="1"/>
  <c r="Z149" i="1" s="1"/>
  <c r="AH148" i="1"/>
  <c r="AL148" i="1" s="1"/>
  <c r="S148" i="1"/>
  <c r="Z148" i="1" s="1"/>
  <c r="AH147" i="1"/>
  <c r="AL147" i="1" s="1"/>
  <c r="S147" i="1"/>
  <c r="Z147" i="1" s="1"/>
  <c r="AH146" i="1"/>
  <c r="AL146" i="1" s="1"/>
  <c r="S146" i="1"/>
  <c r="Z146" i="1" s="1"/>
  <c r="AH145" i="1"/>
  <c r="AL145" i="1" s="1"/>
  <c r="S145" i="1"/>
  <c r="Z145" i="1" s="1"/>
  <c r="AH144" i="1"/>
  <c r="AL144" i="1" s="1"/>
  <c r="S144" i="1"/>
  <c r="Z144" i="1" s="1"/>
  <c r="AH143" i="1"/>
  <c r="AL143" i="1" s="1"/>
  <c r="S143" i="1"/>
  <c r="Z143" i="1" s="1"/>
  <c r="AL142" i="1"/>
  <c r="AE142" i="1" s="1"/>
  <c r="AH142" i="1"/>
  <c r="S142" i="1"/>
  <c r="Z142" i="1" s="1"/>
  <c r="AH141" i="1"/>
  <c r="AL141" i="1" s="1"/>
  <c r="S141" i="1"/>
  <c r="Z141" i="1" s="1"/>
  <c r="AH140" i="1"/>
  <c r="AL140" i="1" s="1"/>
  <c r="S140" i="1"/>
  <c r="Z140" i="1" s="1"/>
  <c r="AL139" i="1"/>
  <c r="AE139" i="1" s="1"/>
  <c r="S139" i="1"/>
  <c r="Z139" i="1" s="1"/>
  <c r="AH138" i="1"/>
  <c r="AL138" i="1" s="1"/>
  <c r="S138" i="1"/>
  <c r="Z138" i="1" s="1"/>
  <c r="AH137" i="1"/>
  <c r="AL137" i="1" s="1"/>
  <c r="AE137" i="1" s="1"/>
  <c r="S137" i="1"/>
  <c r="Z137" i="1" s="1"/>
  <c r="AH136" i="1"/>
  <c r="AL136" i="1" s="1"/>
  <c r="AN136" i="1" s="1"/>
  <c r="S136" i="1"/>
  <c r="Z136" i="1" s="1"/>
  <c r="AH135" i="1"/>
  <c r="AL135" i="1" s="1"/>
  <c r="AE135" i="1" s="1"/>
  <c r="S135" i="1"/>
  <c r="Z135" i="1" s="1"/>
  <c r="AH134" i="1"/>
  <c r="AL134" i="1" s="1"/>
  <c r="S134" i="1"/>
  <c r="Z134" i="1" s="1"/>
  <c r="S133" i="1"/>
  <c r="Z133" i="1" s="1"/>
  <c r="AH132" i="1"/>
  <c r="AL132" i="1" s="1"/>
  <c r="S132" i="1"/>
  <c r="Z132" i="1" s="1"/>
  <c r="AL131" i="1"/>
  <c r="AN131" i="1" s="1"/>
  <c r="S131" i="1"/>
  <c r="Z131" i="1" s="1"/>
  <c r="AP237" i="1" l="1"/>
  <c r="AN174" i="1"/>
  <c r="AE174" i="1"/>
  <c r="AN132" i="1"/>
  <c r="AE132" i="1"/>
  <c r="AE131" i="1"/>
  <c r="AP131" i="1" s="1"/>
  <c r="AE215" i="1"/>
  <c r="AN216" i="1"/>
  <c r="AN198" i="1"/>
  <c r="AE198" i="1"/>
  <c r="AN156" i="1"/>
  <c r="AE156" i="1"/>
  <c r="AN158" i="1"/>
  <c r="AE158" i="1"/>
  <c r="AN155" i="1"/>
  <c r="AE155" i="1"/>
  <c r="AN157" i="1"/>
  <c r="AE157" i="1"/>
  <c r="AN166" i="1"/>
  <c r="AE166" i="1"/>
  <c r="AN207" i="1"/>
  <c r="AE207" i="1"/>
  <c r="AN182" i="1"/>
  <c r="AE182" i="1"/>
  <c r="AE152" i="1"/>
  <c r="AE153" i="1"/>
  <c r="AE154" i="1"/>
  <c r="AE203" i="1"/>
  <c r="AE136" i="1"/>
  <c r="AE190" i="1"/>
  <c r="AN168" i="1"/>
  <c r="AE168" i="1"/>
  <c r="AN188" i="1"/>
  <c r="AE188" i="1"/>
  <c r="AN164" i="1"/>
  <c r="AE164" i="1"/>
  <c r="AN176" i="1"/>
  <c r="AE176" i="1"/>
  <c r="AN196" i="1"/>
  <c r="AE196" i="1"/>
  <c r="AN160" i="1"/>
  <c r="AE160" i="1"/>
  <c r="AN184" i="1"/>
  <c r="AE184" i="1"/>
  <c r="AN213" i="1"/>
  <c r="AE213" i="1"/>
  <c r="AN134" i="1"/>
  <c r="AE134" i="1"/>
  <c r="AN200" i="1"/>
  <c r="AE200" i="1"/>
  <c r="AN172" i="1"/>
  <c r="AE172" i="1"/>
  <c r="AN138" i="1"/>
  <c r="AE138" i="1"/>
  <c r="AN180" i="1"/>
  <c r="AE180" i="1"/>
  <c r="AN192" i="1"/>
  <c r="AE192" i="1"/>
  <c r="AN205" i="1"/>
  <c r="AE205" i="1"/>
  <c r="AM250" i="1"/>
  <c r="AN250" i="1" s="1"/>
  <c r="AN139" i="1"/>
  <c r="AN142" i="1"/>
  <c r="AN209" i="1"/>
  <c r="Z222" i="1"/>
  <c r="Z226" i="1"/>
  <c r="Z228" i="1"/>
  <c r="AN232" i="1"/>
  <c r="AE234" i="1"/>
  <c r="AN236" i="1"/>
  <c r="AE162" i="1"/>
  <c r="AE170" i="1"/>
  <c r="AE178" i="1"/>
  <c r="AE186" i="1"/>
  <c r="AE194" i="1"/>
  <c r="AE202" i="1"/>
  <c r="AE140" i="1"/>
  <c r="AN140" i="1"/>
  <c r="AN143" i="1"/>
  <c r="AE143" i="1"/>
  <c r="AN147" i="1"/>
  <c r="AE147" i="1"/>
  <c r="AE146" i="1"/>
  <c r="AN146" i="1"/>
  <c r="AN150" i="1"/>
  <c r="AE150" i="1"/>
  <c r="AN145" i="1"/>
  <c r="AE145" i="1"/>
  <c r="AE149" i="1"/>
  <c r="AN149" i="1"/>
  <c r="AN141" i="1"/>
  <c r="AE141" i="1"/>
  <c r="AE144" i="1"/>
  <c r="AN144" i="1"/>
  <c r="AE148" i="1"/>
  <c r="AN148" i="1"/>
  <c r="AH230" i="1"/>
  <c r="AL230" i="1" s="1"/>
  <c r="AN230" i="1" s="1"/>
  <c r="AE161" i="1"/>
  <c r="AN161" i="1"/>
  <c r="AE169" i="1"/>
  <c r="AN169" i="1"/>
  <c r="AE177" i="1"/>
  <c r="AN177" i="1"/>
  <c r="AE185" i="1"/>
  <c r="AN185" i="1"/>
  <c r="AE193" i="1"/>
  <c r="AN193" i="1"/>
  <c r="AE201" i="1"/>
  <c r="AN201" i="1"/>
  <c r="AE211" i="1"/>
  <c r="AN211" i="1"/>
  <c r="AE219" i="1"/>
  <c r="AN219" i="1"/>
  <c r="AE233" i="1"/>
  <c r="AN233" i="1"/>
  <c r="AN135" i="1"/>
  <c r="AN137" i="1"/>
  <c r="AE159" i="1"/>
  <c r="AN159" i="1"/>
  <c r="AE167" i="1"/>
  <c r="AN167" i="1"/>
  <c r="AE175" i="1"/>
  <c r="AN175" i="1"/>
  <c r="AE183" i="1"/>
  <c r="AN183" i="1"/>
  <c r="AE191" i="1"/>
  <c r="AN191" i="1"/>
  <c r="AE199" i="1"/>
  <c r="AN199" i="1"/>
  <c r="AE208" i="1"/>
  <c r="AN208" i="1"/>
  <c r="AN210" i="1"/>
  <c r="AE217" i="1"/>
  <c r="AN217" i="1"/>
  <c r="AN218" i="1"/>
  <c r="Q225" i="1"/>
  <c r="Z225" i="1"/>
  <c r="Q229" i="1"/>
  <c r="Z229" i="1"/>
  <c r="AN251" i="1"/>
  <c r="AE165" i="1"/>
  <c r="AN165" i="1"/>
  <c r="AE173" i="1"/>
  <c r="AN173" i="1"/>
  <c r="AE181" i="1"/>
  <c r="AN181" i="1"/>
  <c r="AE189" i="1"/>
  <c r="AN189" i="1"/>
  <c r="AE197" i="1"/>
  <c r="AN197" i="1"/>
  <c r="AE206" i="1"/>
  <c r="AN206" i="1"/>
  <c r="AH212" i="1"/>
  <c r="AL212" i="1" s="1"/>
  <c r="AN212" i="1" s="1"/>
  <c r="AE214" i="1"/>
  <c r="AN214" i="1"/>
  <c r="AE235" i="1"/>
  <c r="AN235" i="1"/>
  <c r="AE163" i="1"/>
  <c r="AN163" i="1"/>
  <c r="AE171" i="1"/>
  <c r="AN171" i="1"/>
  <c r="AE179" i="1"/>
  <c r="AN179" i="1"/>
  <c r="AE187" i="1"/>
  <c r="AN187" i="1"/>
  <c r="AE195" i="1"/>
  <c r="AN195" i="1"/>
  <c r="AE204" i="1"/>
  <c r="AN204" i="1"/>
  <c r="AE231" i="1"/>
  <c r="AN231" i="1"/>
  <c r="Q227" i="1"/>
  <c r="AE230" i="1" l="1"/>
  <c r="AE212" i="1"/>
  <c r="AO130" i="1" l="1"/>
  <c r="AM130" i="1"/>
  <c r="AK130" i="1"/>
  <c r="AE130" i="1"/>
  <c r="Q130" i="1"/>
  <c r="AO129" i="1"/>
  <c r="AM129" i="1"/>
  <c r="AK129" i="1"/>
  <c r="AE129" i="1"/>
  <c r="Q129" i="1"/>
  <c r="AM128" i="1"/>
  <c r="AK128" i="1"/>
  <c r="S128" i="1"/>
  <c r="AE128" i="1" s="1"/>
  <c r="A128" i="1"/>
  <c r="A129" i="1" s="1"/>
  <c r="AM127" i="1"/>
  <c r="AK127" i="1"/>
  <c r="S127" i="1"/>
  <c r="AE127" i="1" s="1"/>
  <c r="B127" i="1"/>
  <c r="AM126" i="1"/>
  <c r="AK126" i="1"/>
  <c r="S126" i="1"/>
  <c r="AO126" i="1" s="1"/>
  <c r="AM125" i="1"/>
  <c r="AK125" i="1"/>
  <c r="Z125" i="1"/>
  <c r="S125" i="1"/>
  <c r="AO125" i="1" s="1"/>
  <c r="AO124" i="1"/>
  <c r="AM124" i="1"/>
  <c r="AK124" i="1"/>
  <c r="AE124" i="1"/>
  <c r="AO123" i="1"/>
  <c r="AM123" i="1"/>
  <c r="AK123" i="1"/>
  <c r="AE123" i="1"/>
  <c r="Q123" i="1"/>
  <c r="AO122" i="1"/>
  <c r="AM122" i="1"/>
  <c r="AK122" i="1"/>
  <c r="AE122" i="1"/>
  <c r="Q122" i="1"/>
  <c r="AM121" i="1"/>
  <c r="AK121" i="1"/>
  <c r="S121" i="1"/>
  <c r="AO121" i="1" s="1"/>
  <c r="AM120" i="1"/>
  <c r="AK120" i="1"/>
  <c r="S120" i="1"/>
  <c r="AO120" i="1" s="1"/>
  <c r="AO119" i="1"/>
  <c r="AM119" i="1"/>
  <c r="AK119" i="1"/>
  <c r="AE119" i="1"/>
  <c r="Q119" i="1"/>
  <c r="AO118" i="1"/>
  <c r="AM118" i="1"/>
  <c r="AK118" i="1"/>
  <c r="AE118" i="1"/>
  <c r="Q118" i="1"/>
  <c r="AO117" i="1"/>
  <c r="AM117" i="1"/>
  <c r="AK117" i="1"/>
  <c r="AE117" i="1"/>
  <c r="Q117" i="1"/>
  <c r="AO116" i="1"/>
  <c r="AM116" i="1"/>
  <c r="AK116" i="1"/>
  <c r="AE116" i="1"/>
  <c r="Q116" i="1"/>
  <c r="AO115" i="1"/>
  <c r="AM115" i="1"/>
  <c r="AK115" i="1"/>
  <c r="AE115" i="1"/>
  <c r="Q115" i="1"/>
  <c r="AO114" i="1"/>
  <c r="AM114" i="1"/>
  <c r="AK114" i="1"/>
  <c r="AE114" i="1"/>
  <c r="Q114" i="1"/>
  <c r="AO113" i="1"/>
  <c r="AM113" i="1"/>
  <c r="AK113" i="1"/>
  <c r="AE113" i="1"/>
  <c r="Q113" i="1"/>
  <c r="AO112" i="1"/>
  <c r="AM112" i="1"/>
  <c r="AK112" i="1"/>
  <c r="AE112" i="1"/>
  <c r="Q112" i="1"/>
  <c r="AO111" i="1"/>
  <c r="AM111" i="1"/>
  <c r="AK111" i="1"/>
  <c r="AE111" i="1"/>
  <c r="Q111" i="1"/>
  <c r="AO110" i="1"/>
  <c r="AM110" i="1"/>
  <c r="AK110" i="1"/>
  <c r="AE110" i="1"/>
  <c r="Q110" i="1"/>
  <c r="AO109" i="1"/>
  <c r="AM109" i="1"/>
  <c r="AK109" i="1"/>
  <c r="AE109" i="1"/>
  <c r="Q109" i="1"/>
  <c r="AO108" i="1"/>
  <c r="AM108" i="1"/>
  <c r="AK108" i="1"/>
  <c r="AE108" i="1"/>
  <c r="Q108" i="1"/>
  <c r="AO107" i="1"/>
  <c r="AM107" i="1"/>
  <c r="AK107" i="1"/>
  <c r="AE107" i="1"/>
  <c r="Q107" i="1"/>
  <c r="AO106" i="1"/>
  <c r="AM106" i="1"/>
  <c r="AK106" i="1"/>
  <c r="AE106" i="1"/>
  <c r="Q106" i="1"/>
  <c r="AO105" i="1"/>
  <c r="AM105" i="1"/>
  <c r="AK105" i="1"/>
  <c r="AE105" i="1"/>
  <c r="Q105" i="1"/>
  <c r="AO104" i="1"/>
  <c r="AM104" i="1"/>
  <c r="AK104" i="1"/>
  <c r="AE104" i="1"/>
  <c r="Q104" i="1"/>
  <c r="AO103" i="1"/>
  <c r="AM103" i="1"/>
  <c r="AK103" i="1"/>
  <c r="AE103" i="1"/>
  <c r="Q103" i="1"/>
  <c r="AO102" i="1"/>
  <c r="AM102" i="1"/>
  <c r="AK102" i="1"/>
  <c r="AE102" i="1"/>
  <c r="Q102" i="1"/>
  <c r="AO101" i="1"/>
  <c r="AM101" i="1"/>
  <c r="AK101" i="1"/>
  <c r="AE101" i="1"/>
  <c r="Q101" i="1"/>
  <c r="AO100" i="1"/>
  <c r="AM100" i="1"/>
  <c r="AK100" i="1"/>
  <c r="AE100" i="1"/>
  <c r="Q100" i="1"/>
  <c r="AO99" i="1"/>
  <c r="AM99" i="1"/>
  <c r="AK99" i="1"/>
  <c r="AE99" i="1"/>
  <c r="Q99" i="1"/>
  <c r="AO98" i="1"/>
  <c r="AM98" i="1"/>
  <c r="AK98" i="1"/>
  <c r="AE98" i="1"/>
  <c r="Q98" i="1"/>
  <c r="AO97" i="1"/>
  <c r="AM97" i="1"/>
  <c r="AK97" i="1"/>
  <c r="AE97" i="1"/>
  <c r="Q97" i="1"/>
  <c r="AO96" i="1"/>
  <c r="AM96" i="1"/>
  <c r="AK96" i="1"/>
  <c r="AE96" i="1"/>
  <c r="Q96" i="1"/>
  <c r="AH95" i="1"/>
  <c r="AD95" i="1"/>
  <c r="S95" i="1"/>
  <c r="Q95" i="1" s="1"/>
  <c r="AH94" i="1"/>
  <c r="AM94" i="1" s="1"/>
  <c r="AD94" i="1"/>
  <c r="S94" i="1"/>
  <c r="Q94" i="1" s="1"/>
  <c r="AH93" i="1"/>
  <c r="AD93" i="1"/>
  <c r="S93" i="1"/>
  <c r="Q93" i="1" s="1"/>
  <c r="AH92" i="1"/>
  <c r="AM92" i="1" s="1"/>
  <c r="AD92" i="1"/>
  <c r="S92" i="1"/>
  <c r="Q92" i="1" s="1"/>
  <c r="AO91" i="1"/>
  <c r="AM91" i="1"/>
  <c r="AK91" i="1"/>
  <c r="AE91" i="1"/>
  <c r="Q91" i="1"/>
  <c r="AO90" i="1"/>
  <c r="AM90" i="1"/>
  <c r="AK90" i="1"/>
  <c r="AE90" i="1"/>
  <c r="Q90" i="1"/>
  <c r="AO89" i="1"/>
  <c r="AM89" i="1"/>
  <c r="AK89" i="1"/>
  <c r="AE89" i="1"/>
  <c r="Q89" i="1"/>
  <c r="AO88" i="1"/>
  <c r="AM88" i="1"/>
  <c r="AK88" i="1"/>
  <c r="AE88" i="1"/>
  <c r="Q88" i="1"/>
  <c r="AO87" i="1"/>
  <c r="AM87" i="1"/>
  <c r="AK87" i="1"/>
  <c r="AE87" i="1"/>
  <c r="Q87" i="1"/>
  <c r="AO86" i="1"/>
  <c r="AM86" i="1"/>
  <c r="AK86" i="1"/>
  <c r="AE86" i="1"/>
  <c r="Q86" i="1"/>
  <c r="AO85" i="1"/>
  <c r="AM85" i="1"/>
  <c r="AK85" i="1"/>
  <c r="AE85" i="1"/>
  <c r="Q85" i="1"/>
  <c r="AO84" i="1"/>
  <c r="AM84" i="1"/>
  <c r="AK84" i="1"/>
  <c r="AE84" i="1"/>
  <c r="Q84" i="1"/>
  <c r="AO83" i="1"/>
  <c r="AM83" i="1"/>
  <c r="AK83" i="1"/>
  <c r="AE83" i="1"/>
  <c r="Q83" i="1"/>
  <c r="AO82" i="1"/>
  <c r="AM82" i="1"/>
  <c r="AK82" i="1"/>
  <c r="AE82" i="1"/>
  <c r="Q82" i="1"/>
  <c r="AO81" i="1"/>
  <c r="AM81" i="1"/>
  <c r="AK81" i="1"/>
  <c r="AE81" i="1"/>
  <c r="Q81" i="1"/>
  <c r="AO80" i="1"/>
  <c r="AM80" i="1"/>
  <c r="AK80" i="1"/>
  <c r="AE80" i="1"/>
  <c r="Q80" i="1"/>
  <c r="AO79" i="1"/>
  <c r="AM79" i="1"/>
  <c r="AK79" i="1"/>
  <c r="AE79" i="1"/>
  <c r="Q79" i="1"/>
  <c r="AO78" i="1"/>
  <c r="AM78" i="1"/>
  <c r="AK78" i="1"/>
  <c r="AE78" i="1"/>
  <c r="Q78" i="1"/>
  <c r="AO77" i="1"/>
  <c r="AM77" i="1"/>
  <c r="AK77" i="1"/>
  <c r="AE77" i="1"/>
  <c r="Q77" i="1"/>
  <c r="AO76" i="1"/>
  <c r="AM76" i="1"/>
  <c r="AK76" i="1"/>
  <c r="AE76" i="1"/>
  <c r="Q76" i="1"/>
  <c r="AO75" i="1"/>
  <c r="AM75" i="1"/>
  <c r="AK75" i="1"/>
  <c r="AE75" i="1"/>
  <c r="Q75" i="1"/>
  <c r="AO74" i="1"/>
  <c r="AM74" i="1"/>
  <c r="AK74" i="1"/>
  <c r="AE74" i="1"/>
  <c r="Q74" i="1"/>
  <c r="AO73" i="1"/>
  <c r="AM73" i="1"/>
  <c r="AK73" i="1"/>
  <c r="AE73" i="1"/>
  <c r="Q73" i="1"/>
  <c r="AO72" i="1"/>
  <c r="AM72" i="1"/>
  <c r="AK72" i="1"/>
  <c r="AE72" i="1"/>
  <c r="Q72" i="1"/>
  <c r="AO71" i="1"/>
  <c r="AM71" i="1"/>
  <c r="AK71" i="1"/>
  <c r="AE71" i="1"/>
  <c r="Q71" i="1"/>
  <c r="AO70" i="1"/>
  <c r="AM70" i="1"/>
  <c r="AK70" i="1"/>
  <c r="AE70" i="1"/>
  <c r="Q70" i="1"/>
  <c r="AO69" i="1"/>
  <c r="AM69" i="1"/>
  <c r="AK69" i="1"/>
  <c r="AE69" i="1"/>
  <c r="Q69" i="1"/>
  <c r="AO68" i="1"/>
  <c r="AM68" i="1"/>
  <c r="AK68" i="1"/>
  <c r="AE68" i="1"/>
  <c r="Q68" i="1"/>
  <c r="AO67" i="1"/>
  <c r="AM67" i="1"/>
  <c r="AK67" i="1"/>
  <c r="AE67" i="1"/>
  <c r="Q67" i="1"/>
  <c r="AO66" i="1"/>
  <c r="AM66" i="1"/>
  <c r="AK66" i="1"/>
  <c r="AE66" i="1"/>
  <c r="Q66" i="1"/>
  <c r="AO65" i="1"/>
  <c r="AM65" i="1"/>
  <c r="AK65" i="1"/>
  <c r="AE65" i="1"/>
  <c r="Q65" i="1"/>
  <c r="AO64" i="1"/>
  <c r="AM64" i="1"/>
  <c r="AK64" i="1"/>
  <c r="AE64" i="1"/>
  <c r="Q64" i="1"/>
  <c r="AO63" i="1"/>
  <c r="AM63" i="1"/>
  <c r="AK63" i="1"/>
  <c r="AE63" i="1"/>
  <c r="Q63" i="1"/>
  <c r="AO62" i="1"/>
  <c r="AM62" i="1"/>
  <c r="AK62" i="1"/>
  <c r="AE62" i="1"/>
  <c r="Q62" i="1"/>
  <c r="AO61" i="1"/>
  <c r="AM61" i="1"/>
  <c r="AK61" i="1"/>
  <c r="AE61" i="1"/>
  <c r="Q61" i="1"/>
  <c r="AO60" i="1"/>
  <c r="AM60" i="1"/>
  <c r="AK60" i="1"/>
  <c r="AE60" i="1"/>
  <c r="Q60" i="1"/>
  <c r="AO59" i="1"/>
  <c r="AM59" i="1"/>
  <c r="AK59" i="1"/>
  <c r="AE59" i="1"/>
  <c r="Q59" i="1"/>
  <c r="AO58" i="1"/>
  <c r="AM58" i="1"/>
  <c r="AK58" i="1"/>
  <c r="AE58" i="1"/>
  <c r="Q58" i="1"/>
  <c r="AO57" i="1"/>
  <c r="AM57" i="1"/>
  <c r="AK57" i="1"/>
  <c r="AE57" i="1"/>
  <c r="Q57" i="1"/>
  <c r="AO56" i="1"/>
  <c r="AM56" i="1"/>
  <c r="AK56" i="1"/>
  <c r="AE56" i="1"/>
  <c r="Q56" i="1"/>
  <c r="AO55" i="1"/>
  <c r="AM55" i="1"/>
  <c r="AK55" i="1"/>
  <c r="AE55" i="1"/>
  <c r="Q55" i="1"/>
  <c r="AO54" i="1"/>
  <c r="AM54" i="1"/>
  <c r="AK54" i="1"/>
  <c r="AE54" i="1"/>
  <c r="Q54" i="1"/>
  <c r="AO53" i="1"/>
  <c r="AM53" i="1"/>
  <c r="AK53" i="1"/>
  <c r="AE53" i="1"/>
  <c r="Q53" i="1"/>
  <c r="AO52" i="1"/>
  <c r="AM52" i="1"/>
  <c r="AK52" i="1"/>
  <c r="AE52" i="1"/>
  <c r="Q52" i="1"/>
  <c r="AO51" i="1"/>
  <c r="AM51" i="1"/>
  <c r="AK51" i="1"/>
  <c r="AE51" i="1"/>
  <c r="Q51" i="1"/>
  <c r="AO50" i="1"/>
  <c r="AM50" i="1"/>
  <c r="AK50" i="1"/>
  <c r="AE50" i="1"/>
  <c r="Q50" i="1"/>
  <c r="AO49" i="1"/>
  <c r="AM49" i="1"/>
  <c r="AK49" i="1"/>
  <c r="AE49" i="1"/>
  <c r="Q49" i="1"/>
  <c r="AO48" i="1"/>
  <c r="AM48" i="1"/>
  <c r="AK48" i="1"/>
  <c r="AE48" i="1"/>
  <c r="Q48" i="1"/>
  <c r="AO47" i="1"/>
  <c r="AM47" i="1"/>
  <c r="AK47" i="1"/>
  <c r="AE47" i="1"/>
  <c r="Q47" i="1"/>
  <c r="AO46" i="1"/>
  <c r="AM46" i="1"/>
  <c r="AK46" i="1"/>
  <c r="AE46" i="1"/>
  <c r="Q46" i="1"/>
  <c r="AO45" i="1"/>
  <c r="AM45" i="1"/>
  <c r="AK45" i="1"/>
  <c r="AE45" i="1"/>
  <c r="Q45" i="1"/>
  <c r="AO44" i="1"/>
  <c r="AM44" i="1"/>
  <c r="AK44" i="1"/>
  <c r="AE44" i="1"/>
  <c r="Q44" i="1"/>
  <c r="AO43" i="1"/>
  <c r="AM43" i="1"/>
  <c r="AK43" i="1"/>
  <c r="AE43" i="1"/>
  <c r="Q43" i="1"/>
  <c r="AO42" i="1"/>
  <c r="AM42" i="1"/>
  <c r="AK42" i="1"/>
  <c r="AE42" i="1"/>
  <c r="Q42" i="1"/>
  <c r="AO41" i="1"/>
  <c r="AM41" i="1"/>
  <c r="AK41" i="1"/>
  <c r="AE41" i="1"/>
  <c r="Q41" i="1"/>
  <c r="AO40" i="1"/>
  <c r="AM40" i="1"/>
  <c r="AK40" i="1"/>
  <c r="AE40" i="1"/>
  <c r="Q40" i="1"/>
  <c r="AO39" i="1"/>
  <c r="AM39" i="1"/>
  <c r="AK39" i="1"/>
  <c r="AE39" i="1"/>
  <c r="Q39" i="1"/>
  <c r="AO38" i="1"/>
  <c r="AM38" i="1"/>
  <c r="AK38" i="1"/>
  <c r="AE38" i="1"/>
  <c r="Q38" i="1"/>
  <c r="AO37" i="1"/>
  <c r="AM37" i="1"/>
  <c r="AK37" i="1"/>
  <c r="AE37" i="1"/>
  <c r="Q37" i="1"/>
  <c r="AO36" i="1"/>
  <c r="AM36" i="1"/>
  <c r="AK36" i="1"/>
  <c r="AE36" i="1"/>
  <c r="Q36" i="1"/>
  <c r="AH35" i="1"/>
  <c r="AD35" i="1"/>
  <c r="S35" i="1"/>
  <c r="Q35" i="1" s="1"/>
  <c r="AH34" i="1"/>
  <c r="AM34" i="1" s="1"/>
  <c r="AD34" i="1"/>
  <c r="S34" i="1"/>
  <c r="Q34" i="1" s="1"/>
  <c r="AO33" i="1"/>
  <c r="AM33" i="1"/>
  <c r="AK33" i="1"/>
  <c r="AE33" i="1"/>
  <c r="Q33" i="1"/>
  <c r="AO32" i="1"/>
  <c r="AM32" i="1"/>
  <c r="AK32" i="1"/>
  <c r="AE32" i="1"/>
  <c r="Q32" i="1"/>
  <c r="AO31" i="1"/>
  <c r="AM31" i="1"/>
  <c r="AK31" i="1"/>
  <c r="AE31" i="1"/>
  <c r="Q31" i="1"/>
  <c r="AO30" i="1"/>
  <c r="AM30" i="1"/>
  <c r="AK30" i="1"/>
  <c r="AE30" i="1"/>
  <c r="Q30" i="1"/>
  <c r="AO29" i="1"/>
  <c r="AM29" i="1"/>
  <c r="AK29" i="1"/>
  <c r="AE29" i="1"/>
  <c r="Q29" i="1"/>
  <c r="AO28" i="1"/>
  <c r="AM28" i="1"/>
  <c r="AK28" i="1"/>
  <c r="AE28" i="1"/>
  <c r="Q28" i="1"/>
  <c r="AO27" i="1"/>
  <c r="AM27" i="1"/>
  <c r="AK27" i="1"/>
  <c r="AE27" i="1"/>
  <c r="Q27" i="1"/>
  <c r="AO26" i="1"/>
  <c r="AM26" i="1"/>
  <c r="AK26" i="1"/>
  <c r="AE26" i="1"/>
  <c r="Q26" i="1"/>
  <c r="AO25" i="1"/>
  <c r="AM25" i="1"/>
  <c r="AK25" i="1"/>
  <c r="AE25" i="1"/>
  <c r="Q25" i="1"/>
  <c r="AO24" i="1"/>
  <c r="AM24" i="1"/>
  <c r="AK24" i="1"/>
  <c r="AE24" i="1"/>
  <c r="Q24" i="1"/>
  <c r="AO23" i="1"/>
  <c r="AM23" i="1"/>
  <c r="AK23" i="1"/>
  <c r="AE23" i="1"/>
  <c r="Q23" i="1"/>
  <c r="AO22" i="1"/>
  <c r="AM22" i="1"/>
  <c r="AK22" i="1"/>
  <c r="AE22" i="1"/>
  <c r="Q22" i="1"/>
  <c r="AO21" i="1"/>
  <c r="AM21" i="1"/>
  <c r="AK21" i="1"/>
  <c r="AE21" i="1"/>
  <c r="Q21" i="1"/>
  <c r="AO20" i="1"/>
  <c r="AM20" i="1"/>
  <c r="AK20" i="1"/>
  <c r="AE20" i="1"/>
  <c r="Q20" i="1"/>
  <c r="AO19" i="1"/>
  <c r="AM19" i="1"/>
  <c r="AK19" i="1"/>
  <c r="AE19" i="1"/>
  <c r="Q19" i="1"/>
  <c r="AO18" i="1"/>
  <c r="AM18" i="1"/>
  <c r="AK18" i="1"/>
  <c r="AE18" i="1"/>
  <c r="Q18" i="1"/>
  <c r="AO17" i="1"/>
  <c r="AM17" i="1"/>
  <c r="AK17" i="1"/>
  <c r="AE17" i="1"/>
  <c r="Q17" i="1"/>
  <c r="AO16" i="1"/>
  <c r="AM16" i="1"/>
  <c r="AK16" i="1"/>
  <c r="AE16" i="1"/>
  <c r="Q16" i="1"/>
  <c r="AO15" i="1"/>
  <c r="AM15" i="1"/>
  <c r="AK15" i="1"/>
  <c r="AE15" i="1"/>
  <c r="Q15" i="1"/>
  <c r="AO14" i="1"/>
  <c r="AM14" i="1"/>
  <c r="AK14" i="1"/>
  <c r="AE14" i="1"/>
  <c r="Q14" i="1"/>
  <c r="AO13" i="1"/>
  <c r="AM13" i="1"/>
  <c r="AK13" i="1"/>
  <c r="AE13" i="1"/>
  <c r="Q13" i="1"/>
  <c r="AO12" i="1"/>
  <c r="AM12" i="1"/>
  <c r="AK12" i="1"/>
  <c r="AE12" i="1"/>
  <c r="Q12" i="1"/>
  <c r="AO11" i="1"/>
  <c r="AM11" i="1"/>
  <c r="AK11" i="1"/>
  <c r="AE11" i="1"/>
  <c r="Q11" i="1"/>
  <c r="AO10" i="1"/>
  <c r="AM10" i="1"/>
  <c r="AK10" i="1"/>
  <c r="AE10" i="1"/>
  <c r="Q10" i="1"/>
  <c r="AO9" i="1"/>
  <c r="AM9" i="1"/>
  <c r="AK9" i="1"/>
  <c r="AE9" i="1"/>
  <c r="Q9" i="1"/>
  <c r="AO8" i="1"/>
  <c r="AM8" i="1"/>
  <c r="AK8" i="1"/>
  <c r="AE8" i="1"/>
  <c r="Q8" i="1"/>
  <c r="AM7" i="1"/>
  <c r="AK7" i="1"/>
  <c r="S7" i="1"/>
  <c r="AE7" i="1" s="1"/>
  <c r="A7" i="1"/>
  <c r="A8" i="1" s="1"/>
  <c r="A9" i="1" s="1"/>
  <c r="B9" i="1" s="1"/>
  <c r="AM6" i="1"/>
  <c r="AK6" i="1"/>
  <c r="S6" i="1"/>
  <c r="AE6" i="1" s="1"/>
  <c r="B6" i="1"/>
  <c r="AE95" i="1" l="1"/>
  <c r="Q127" i="1"/>
  <c r="B7" i="1"/>
  <c r="AK35" i="1"/>
  <c r="AK34" i="1"/>
  <c r="Q7" i="1"/>
  <c r="B8" i="1"/>
  <c r="AE120" i="1"/>
  <c r="AE121" i="1"/>
  <c r="Q6" i="1"/>
  <c r="Q128" i="1"/>
  <c r="AK92" i="1"/>
  <c r="AE93" i="1"/>
  <c r="B128" i="1"/>
  <c r="AE35" i="1"/>
  <c r="AK94" i="1"/>
  <c r="AK95" i="1"/>
  <c r="B129" i="1"/>
  <c r="A130" i="1"/>
  <c r="B130" i="1" s="1"/>
  <c r="AO35" i="1"/>
  <c r="AM35" i="1"/>
  <c r="AK93" i="1"/>
  <c r="AO95" i="1"/>
  <c r="AM95" i="1"/>
  <c r="A10" i="1"/>
  <c r="AO93" i="1"/>
  <c r="AM93" i="1"/>
  <c r="AO6" i="1"/>
  <c r="AO7" i="1"/>
  <c r="AE34" i="1"/>
  <c r="AO34" i="1"/>
  <c r="AE92" i="1"/>
  <c r="AO92" i="1"/>
  <c r="AE94" i="1"/>
  <c r="AO94" i="1"/>
  <c r="AO127" i="1"/>
  <c r="AO128" i="1"/>
  <c r="Q120" i="1"/>
  <c r="Q121" i="1"/>
  <c r="Q125" i="1"/>
  <c r="Q126" i="1"/>
  <c r="B10" i="1" l="1"/>
  <c r="A11" i="1"/>
  <c r="A12" i="1" l="1"/>
  <c r="B11" i="1"/>
  <c r="A13" i="1" l="1"/>
  <c r="B12" i="1"/>
  <c r="B13" i="1" l="1"/>
  <c r="A14" i="1"/>
  <c r="B14" i="1" l="1"/>
  <c r="A15" i="1"/>
  <c r="A16" i="1" l="1"/>
  <c r="B15" i="1"/>
  <c r="A17" i="1" l="1"/>
  <c r="B16" i="1"/>
  <c r="B17" i="1" l="1"/>
  <c r="A18" i="1"/>
  <c r="B18" i="1" l="1"/>
  <c r="A19" i="1"/>
  <c r="A20" i="1" l="1"/>
  <c r="B19" i="1"/>
  <c r="B20" i="1" l="1"/>
  <c r="A21" i="1"/>
  <c r="B21" i="1" l="1"/>
  <c r="A22" i="1"/>
  <c r="A23" i="1" l="1"/>
  <c r="B22" i="1"/>
  <c r="A24" i="1" l="1"/>
  <c r="B23" i="1"/>
  <c r="B24" i="1" l="1"/>
  <c r="A25" i="1"/>
  <c r="B25" i="1" l="1"/>
  <c r="A26" i="1"/>
  <c r="A27" i="1" l="1"/>
  <c r="B26" i="1"/>
  <c r="A28" i="1" l="1"/>
  <c r="B27" i="1"/>
  <c r="B28" i="1" l="1"/>
  <c r="A29" i="1"/>
  <c r="B29" i="1" l="1"/>
  <c r="A30" i="1"/>
  <c r="A31" i="1" l="1"/>
  <c r="B30" i="1"/>
  <c r="A32" i="1" l="1"/>
  <c r="B31" i="1"/>
  <c r="B32" i="1" l="1"/>
  <c r="A33" i="1"/>
  <c r="B33" i="1" l="1"/>
  <c r="A34" i="1"/>
  <c r="A35" i="1" l="1"/>
  <c r="B34" i="1"/>
  <c r="B35" i="1" l="1"/>
  <c r="A36" i="1"/>
  <c r="A37" i="1" l="1"/>
  <c r="B36" i="1"/>
  <c r="A38" i="1" l="1"/>
  <c r="B37" i="1"/>
  <c r="B38" i="1" l="1"/>
  <c r="A39" i="1"/>
  <c r="B39" i="1" l="1"/>
  <c r="A40" i="1"/>
  <c r="A41" i="1" l="1"/>
  <c r="B40" i="1"/>
  <c r="A42" i="1" l="1"/>
  <c r="B41" i="1"/>
  <c r="B42" i="1" l="1"/>
  <c r="A43" i="1"/>
  <c r="B43" i="1" l="1"/>
  <c r="A44" i="1"/>
  <c r="A45" i="1" l="1"/>
  <c r="B44" i="1"/>
  <c r="A46" i="1" l="1"/>
  <c r="B45" i="1"/>
  <c r="B46" i="1" l="1"/>
  <c r="A47" i="1"/>
  <c r="B47" i="1" l="1"/>
  <c r="A48" i="1"/>
  <c r="A49" i="1" l="1"/>
  <c r="B48" i="1"/>
  <c r="A50" i="1" l="1"/>
  <c r="B49" i="1"/>
  <c r="B50" i="1" l="1"/>
  <c r="A51" i="1"/>
  <c r="B51" i="1" l="1"/>
  <c r="A52" i="1"/>
  <c r="A53" i="1" l="1"/>
  <c r="B52" i="1"/>
  <c r="A54" i="1" l="1"/>
  <c r="B53" i="1"/>
  <c r="B54" i="1" l="1"/>
  <c r="A55" i="1"/>
  <c r="B55" i="1" l="1"/>
  <c r="A56" i="1"/>
  <c r="A57" i="1" l="1"/>
  <c r="B56" i="1"/>
  <c r="A58" i="1" l="1"/>
  <c r="B57" i="1"/>
  <c r="B58" i="1" l="1"/>
  <c r="A59" i="1"/>
  <c r="B59" i="1" l="1"/>
  <c r="A60" i="1"/>
  <c r="A61" i="1" l="1"/>
  <c r="B60" i="1"/>
  <c r="A62" i="1" l="1"/>
  <c r="B61" i="1"/>
  <c r="B62" i="1" l="1"/>
  <c r="A63" i="1"/>
  <c r="B63" i="1" l="1"/>
  <c r="A64" i="1"/>
  <c r="A65" i="1" l="1"/>
  <c r="B64" i="1"/>
  <c r="A66" i="1" l="1"/>
  <c r="B65" i="1"/>
  <c r="B66" i="1" l="1"/>
  <c r="A67" i="1"/>
  <c r="B67" i="1" l="1"/>
  <c r="A68" i="1"/>
  <c r="A69" i="1" l="1"/>
  <c r="B68" i="1"/>
  <c r="A70" i="1" l="1"/>
  <c r="B69" i="1"/>
  <c r="B70" i="1" l="1"/>
  <c r="A71" i="1"/>
  <c r="B71" i="1" l="1"/>
  <c r="A72" i="1"/>
  <c r="A73" i="1" l="1"/>
  <c r="B72" i="1"/>
  <c r="A74" i="1" l="1"/>
  <c r="B73" i="1"/>
  <c r="B74" i="1" l="1"/>
  <c r="A75" i="1"/>
  <c r="B75" i="1" l="1"/>
  <c r="A76" i="1"/>
  <c r="A77" i="1" l="1"/>
  <c r="B76" i="1"/>
  <c r="A78" i="1" l="1"/>
  <c r="B77" i="1"/>
  <c r="B78" i="1" l="1"/>
  <c r="A79" i="1"/>
  <c r="B79" i="1" l="1"/>
  <c r="A80" i="1"/>
  <c r="A81" i="1" l="1"/>
  <c r="B80" i="1"/>
  <c r="A82" i="1" l="1"/>
  <c r="B81" i="1"/>
  <c r="B82" i="1" l="1"/>
  <c r="A83" i="1"/>
  <c r="B83" i="1" l="1"/>
  <c r="A84" i="1"/>
  <c r="A85" i="1" l="1"/>
  <c r="B84" i="1"/>
  <c r="A86" i="1" l="1"/>
  <c r="B85" i="1"/>
  <c r="B86" i="1" l="1"/>
  <c r="A87" i="1"/>
  <c r="B87" i="1" l="1"/>
  <c r="A88" i="1"/>
  <c r="A89" i="1" l="1"/>
  <c r="B88" i="1"/>
  <c r="A90" i="1" l="1"/>
  <c r="B89" i="1"/>
  <c r="B90" i="1" l="1"/>
  <c r="A91" i="1"/>
  <c r="B91" i="1" l="1"/>
  <c r="A92" i="1"/>
  <c r="A93" i="1" l="1"/>
  <c r="B92" i="1"/>
  <c r="B93" i="1" l="1"/>
  <c r="A94" i="1"/>
  <c r="A95" i="1" l="1"/>
  <c r="B94" i="1"/>
  <c r="B95" i="1" l="1"/>
  <c r="A96" i="1"/>
  <c r="A97" i="1" l="1"/>
  <c r="B96" i="1"/>
  <c r="A98" i="1" l="1"/>
  <c r="B97" i="1"/>
  <c r="B98" i="1" l="1"/>
  <c r="A99" i="1"/>
  <c r="B99" i="1" l="1"/>
  <c r="A100" i="1"/>
  <c r="A101" i="1" l="1"/>
  <c r="B100" i="1"/>
  <c r="A102" i="1" l="1"/>
  <c r="B101" i="1"/>
  <c r="B102" i="1" l="1"/>
  <c r="A103" i="1"/>
  <c r="B103" i="1" l="1"/>
  <c r="A104" i="1"/>
  <c r="A105" i="1" l="1"/>
  <c r="B104" i="1"/>
  <c r="A106" i="1" l="1"/>
  <c r="B105" i="1"/>
  <c r="B106" i="1" l="1"/>
  <c r="A107" i="1"/>
  <c r="B107" i="1" l="1"/>
  <c r="A108" i="1"/>
  <c r="A109" i="1" l="1"/>
  <c r="B108" i="1"/>
  <c r="A110" i="1" l="1"/>
  <c r="B109" i="1"/>
  <c r="B110" i="1" l="1"/>
  <c r="A111" i="1"/>
  <c r="B111" i="1" l="1"/>
  <c r="A112" i="1"/>
  <c r="A113" i="1" l="1"/>
  <c r="B112" i="1"/>
  <c r="A114" i="1" l="1"/>
  <c r="B113" i="1"/>
  <c r="B114" i="1" l="1"/>
  <c r="A115" i="1"/>
  <c r="B115" i="1" l="1"/>
  <c r="A116" i="1"/>
  <c r="A117" i="1" l="1"/>
  <c r="B116" i="1"/>
  <c r="A118" i="1" l="1"/>
  <c r="B117" i="1"/>
  <c r="B118" i="1" l="1"/>
  <c r="A119" i="1"/>
  <c r="B119" i="1" l="1"/>
  <c r="A120" i="1"/>
  <c r="B120" i="1" l="1"/>
  <c r="A121" i="1"/>
  <c r="B121" i="1" l="1"/>
  <c r="A122" i="1"/>
  <c r="A123" i="1" l="1"/>
  <c r="B122" i="1"/>
  <c r="A124" i="1" l="1"/>
  <c r="B123" i="1"/>
  <c r="B124" i="1" l="1"/>
  <c r="A125" i="1"/>
  <c r="B125" i="1" l="1"/>
  <c r="A126" i="1"/>
  <c r="B1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IATorres</author>
    <author>Sonia Milena Gil Montoya</author>
    <author>janovoa</author>
    <author>DIANA CAROLINA ARTEAGA ARTEAGA</author>
    <author>LINA CONSTANZA VARGAS</author>
  </authors>
  <commentList>
    <comment ref="A5" authorId="0" shapeId="0" xr:uid="{5996DA9A-73E8-4CB7-AADC-137DD30921E6}">
      <text>
        <r>
          <rPr>
            <sz val="10"/>
            <color indexed="81"/>
            <rFont val="Tahoma"/>
            <family val="2"/>
          </rPr>
          <t>Diligenciado por la OAP</t>
        </r>
      </text>
    </comment>
    <comment ref="B5" authorId="0" shapeId="0" xr:uid="{0E3ECF0C-0549-4797-8F64-5E25DFCA9A79}">
      <text>
        <r>
          <rPr>
            <sz val="10"/>
            <color indexed="81"/>
            <rFont val="Tahoma"/>
            <family val="2"/>
          </rPr>
          <t xml:space="preserve"> Se requiere y la arroja SISCO</t>
        </r>
      </text>
    </comment>
    <comment ref="P5" authorId="1" shapeId="0" xr:uid="{987B264F-04F4-41B2-96EA-1AC2312F9475}">
      <text>
        <r>
          <rPr>
            <b/>
            <sz val="8"/>
            <color indexed="81"/>
            <rFont val="Tahoma"/>
            <family val="2"/>
          </rPr>
          <t>OAP:</t>
        </r>
        <r>
          <rPr>
            <sz val="8"/>
            <color indexed="81"/>
            <rFont val="Tahoma"/>
            <family val="2"/>
          </rPr>
          <t xml:space="preserve"> Aquí se debe escribir claramente el objeto que se va a contratar. Esta columna deberá ser diligenciada con el acompañamiento de la Dirección Jurídica.
Debe desplegar tantas líneas como contratos requiera del objeto general.</t>
        </r>
      </text>
    </comment>
    <comment ref="V5" authorId="0" shapeId="0" xr:uid="{3975E1DE-37D0-462D-A18A-DB027E735647}">
      <text>
        <r>
          <rPr>
            <b/>
            <sz val="8"/>
            <color indexed="81"/>
            <rFont val="Tahoma"/>
            <family val="2"/>
          </rPr>
          <t>OAP:</t>
        </r>
        <r>
          <rPr>
            <sz val="8"/>
            <color indexed="81"/>
            <rFont val="Tahoma"/>
            <family val="2"/>
          </rPr>
          <t xml:space="preserve"> Es la fecha en la cual la solicitud de contratación debe estar radicada en la Dirección Jurídica.
</t>
        </r>
        <r>
          <rPr>
            <b/>
            <sz val="8"/>
            <color indexed="81"/>
            <rFont val="Tahoma"/>
            <family val="2"/>
          </rPr>
          <t xml:space="preserve">NOTA: </t>
        </r>
        <r>
          <rPr>
            <sz val="8"/>
            <color indexed="81"/>
            <rFont val="Tahoma"/>
            <family val="2"/>
          </rPr>
          <t>A esta columna le realiza seguimiento la Dirección Jurídica.</t>
        </r>
      </text>
    </comment>
    <comment ref="Y5" authorId="0" shapeId="0" xr:uid="{9528A489-A8D3-4780-98CA-CE28F79AF044}">
      <text>
        <r>
          <rPr>
            <sz val="10"/>
            <color indexed="81"/>
            <rFont val="Tahoma"/>
            <family val="2"/>
          </rPr>
          <t>Fecha de emisión del Concepto de Viabilidad</t>
        </r>
      </text>
    </comment>
    <comment ref="AA5" authorId="2" shapeId="0" xr:uid="{8E66A46A-086F-494B-96C7-044725E1BBE8}">
      <text>
        <r>
          <rPr>
            <sz val="10"/>
            <color indexed="81"/>
            <rFont val="Tahoma"/>
            <family val="2"/>
          </rPr>
          <t xml:space="preserve">Para la lineas nuevas registrar el número de la línea de donde se trasladan los recursos </t>
        </r>
      </text>
    </comment>
    <comment ref="AR5" authorId="3" shapeId="0" xr:uid="{0B02F8A2-BCC6-4822-9BAC-427913A4D38A}">
      <text>
        <r>
          <rPr>
            <b/>
            <sz val="10"/>
            <color indexed="81"/>
            <rFont val="Tahoma"/>
            <family val="2"/>
          </rPr>
          <t>El tipo de Modificación puede ser:</t>
        </r>
        <r>
          <rPr>
            <sz val="10"/>
            <color indexed="81"/>
            <rFont val="Tahoma"/>
            <family val="2"/>
          </rPr>
          <t xml:space="preserve">
01 Creación de la línea
02 Modificación de la línea: Ej. Reducción, adición, traslado</t>
        </r>
        <r>
          <rPr>
            <sz val="8"/>
            <color indexed="81"/>
            <rFont val="Tahoma"/>
            <family val="2"/>
          </rPr>
          <t xml:space="preserve">
</t>
        </r>
      </text>
    </comment>
    <comment ref="AT5" authorId="0" shapeId="0" xr:uid="{27397F03-416F-4BCA-9464-444807E133F7}">
      <text>
        <r>
          <rPr>
            <b/>
            <sz val="10"/>
            <color indexed="81"/>
            <rFont val="Tahoma"/>
            <family val="2"/>
          </rPr>
          <t xml:space="preserve"> Explicación de modificación de la linea.
Esta información viene del formato de modificación que radican las áreas</t>
        </r>
      </text>
    </comment>
    <comment ref="P312" authorId="4" shapeId="0" xr:uid="{DD254F46-A60B-4E7E-A501-FB4662B7F4A2}">
      <text>
        <r>
          <rPr>
            <b/>
            <sz val="9"/>
            <color indexed="81"/>
            <rFont val="Tahoma"/>
            <family val="2"/>
          </rPr>
          <t xml:space="preserve">DIANA CAROLINA ARTEAGA ARTEAGA:
</t>
        </r>
        <r>
          <rPr>
            <sz val="9"/>
            <color indexed="81"/>
            <rFont val="Tahoma"/>
            <family val="2"/>
          </rPr>
          <t>Modificación de Objeto MEMO: 2017IE2360</t>
        </r>
      </text>
    </comment>
    <comment ref="P352" authorId="4" shapeId="0" xr:uid="{959A03FB-3C3F-49AD-B9AF-142563E9AC8A}">
      <text>
        <r>
          <rPr>
            <b/>
            <sz val="9"/>
            <color indexed="81"/>
            <rFont val="Tahoma"/>
            <family val="2"/>
          </rPr>
          <t>DIANA CAROLINA ARTEAGA ARTEAGA:</t>
        </r>
        <r>
          <rPr>
            <sz val="9"/>
            <color indexed="81"/>
            <rFont val="Tahoma"/>
            <family val="2"/>
          </rPr>
          <t xml:space="preserve">
Solicitud de Modificación: MEMORANDO 2017IE2102
10 FEB 2017</t>
        </r>
      </text>
    </comment>
    <comment ref="P625" authorId="5" shapeId="0" xr:uid="{B4BE50B4-0150-4E38-9785-A12E078A2BB2}">
      <text>
        <r>
          <rPr>
            <b/>
            <sz val="9"/>
            <color indexed="81"/>
            <rFont val="Tahoma"/>
            <family val="2"/>
          </rPr>
          <t>LINA CONSTANZA VARGAS:</t>
        </r>
        <r>
          <rPr>
            <sz val="9"/>
            <color indexed="81"/>
            <rFont val="Tahoma"/>
            <family val="2"/>
          </rPr>
          <t xml:space="preserve">
OBJETOS DIFERENTES POR EL REFERENTE INDIGENA
</t>
        </r>
      </text>
    </comment>
    <comment ref="P665" authorId="5" shapeId="0" xr:uid="{46E3B440-5F1E-45C0-8F3F-AFC608F6A253}">
      <text>
        <r>
          <rPr>
            <b/>
            <sz val="9"/>
            <color indexed="81"/>
            <rFont val="Tahoma"/>
            <family val="2"/>
          </rPr>
          <t>LINA CONSTANZA VARGAS:</t>
        </r>
        <r>
          <rPr>
            <sz val="9"/>
            <color indexed="81"/>
            <rFont val="Tahoma"/>
            <family val="2"/>
          </rPr>
          <t xml:space="preserve">
</t>
        </r>
        <r>
          <rPr>
            <sz val="11"/>
            <color indexed="81"/>
            <rFont val="Tahoma"/>
            <family val="2"/>
          </rPr>
          <t>DIFERENTES OBJETOS</t>
        </r>
        <r>
          <rPr>
            <sz val="9"/>
            <color indexed="81"/>
            <rFont val="Tahoma"/>
            <family val="2"/>
          </rPr>
          <t xml:space="preserve">
</t>
        </r>
      </text>
    </comment>
    <comment ref="P720" authorId="5" shapeId="0" xr:uid="{2CF0A441-721A-4812-95CA-F399AE8C64A1}">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727" authorId="5" shapeId="0" xr:uid="{3618EC71-8CA3-4F82-905E-320BA1C1BD29}">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733" authorId="5" shapeId="0" xr:uid="{8950D898-21CB-412E-9D8E-712CFAB10C6C}">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734" authorId="5" shapeId="0" xr:uid="{013ECF12-2136-4BF3-8FED-CFC639808975}">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737" authorId="5" shapeId="0" xr:uid="{AE83AB3C-F4C4-47F3-BA1E-E346851E92D1}">
      <text>
        <r>
          <rPr>
            <b/>
            <sz val="9"/>
            <color indexed="81"/>
            <rFont val="Tahoma"/>
            <family val="2"/>
          </rPr>
          <t>LINA CONSTANZA VARGAS:</t>
        </r>
        <r>
          <rPr>
            <sz val="9"/>
            <color indexed="81"/>
            <rFont val="Tahoma"/>
            <family val="2"/>
          </rPr>
          <t xml:space="preserve">
OBJETOS DIFERENTES POR EL REFERENTE INDIGENA
</t>
        </r>
      </text>
    </comment>
    <comment ref="P740" authorId="5" shapeId="0" xr:uid="{198D8F91-29FF-49CE-9A74-F83A2666089C}">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745" authorId="5" shapeId="0" xr:uid="{F9E61BC4-B4F8-46D2-8126-F557CE673D87}">
      <text>
        <r>
          <rPr>
            <b/>
            <sz val="9"/>
            <color indexed="81"/>
            <rFont val="Tahoma"/>
            <family val="2"/>
          </rPr>
          <t>LINA CONSTANZA VARGAS:</t>
        </r>
        <r>
          <rPr>
            <sz val="9"/>
            <color indexed="81"/>
            <rFont val="Tahoma"/>
            <family val="2"/>
          </rPr>
          <t xml:space="preserve">
OBJETOS DIFERENTES POR EL REFERENTE INDIGENA
</t>
        </r>
      </text>
    </comment>
    <comment ref="P746" authorId="5" shapeId="0" xr:uid="{4162FBA1-2BD4-4FB8-80AD-CA53FD1D95EB}">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List>
</comments>
</file>

<file path=xl/sharedStrings.xml><?xml version="1.0" encoding="utf-8"?>
<sst xmlns="http://schemas.openxmlformats.org/spreadsheetml/2006/main" count="19872" uniqueCount="3008">
  <si>
    <t>Código:208-PLA-Ft-11</t>
  </si>
  <si>
    <t>Pág: 1 de 1</t>
  </si>
  <si>
    <t>CONSOLIDADO PLAN DE ADQUISICIONES</t>
  </si>
  <si>
    <t>MODIFICACIONES AL PLAN DE ADQUISICIONES</t>
  </si>
  <si>
    <t>Nº LÍNEA</t>
  </si>
  <si>
    <t>LÍNEA SISCO</t>
  </si>
  <si>
    <t>NOMBRE PROYECTO</t>
  </si>
  <si>
    <t>META PLAN DE DESARROLLO</t>
  </si>
  <si>
    <t>META PROYECTO DE INVERSIÓN</t>
  </si>
  <si>
    <t>TIPO DE GASTO</t>
  </si>
  <si>
    <t>COMPONENTE DE GASTO</t>
  </si>
  <si>
    <t>CONCEPTO DE GASTO</t>
  </si>
  <si>
    <t>FUENTE DE FINANCIACIÓN</t>
  </si>
  <si>
    <t>DETALLE DE FUENTE</t>
  </si>
  <si>
    <t>CLASIFICADOR DE BIENES Y SERVICIOS ONU</t>
  </si>
  <si>
    <t>CHIP CLASIFICADOR</t>
  </si>
  <si>
    <t>CHIP DESTINACIÓN</t>
  </si>
  <si>
    <t>CHIP FINALIDAD</t>
  </si>
  <si>
    <t>FUT</t>
  </si>
  <si>
    <t>OBJETO</t>
  </si>
  <si>
    <t>VALOR UNITARIO O VALOR MES</t>
  </si>
  <si>
    <t>CANTIDAD</t>
  </si>
  <si>
    <t>VALOR PROGRAMADO</t>
  </si>
  <si>
    <t>TIPO DE CONTRATACIÓN</t>
  </si>
  <si>
    <t>MODALIDAD DE CONTRATACIÓN</t>
  </si>
  <si>
    <t>FECHA ESTIMADA INICIO DE PROCESO DE SELECCIÓN</t>
  </si>
  <si>
    <t>PLAZO MESES</t>
  </si>
  <si>
    <t>VIABILIDAD</t>
  </si>
  <si>
    <t>FECHA VIABILIDAD</t>
  </si>
  <si>
    <t>VALOR</t>
  </si>
  <si>
    <t>TRASLADO ENTRE LINEAS</t>
  </si>
  <si>
    <t>Nº CDP</t>
  </si>
  <si>
    <t>FECHA DEL CDP</t>
  </si>
  <si>
    <t>VALOR CDP - CERTIFICADO DE DISPONIBILIDAD PRESUPUESTAL</t>
  </si>
  <si>
    <t>No Registro Presupuestal</t>
  </si>
  <si>
    <t>FECHA DEL RP</t>
  </si>
  <si>
    <t>VALOR DEL REGISTRO PRESUPUESTAL-RP</t>
  </si>
  <si>
    <t>NOMBRE CONTRATISTA</t>
  </si>
  <si>
    <t>CONTRATO N°</t>
  </si>
  <si>
    <t>LIBERACIÓN DISPONIBILIDAD PRESUPUESTAL</t>
  </si>
  <si>
    <t>GIROS</t>
  </si>
  <si>
    <t>POR GIRAR</t>
  </si>
  <si>
    <t xml:space="preserve">Area </t>
  </si>
  <si>
    <t>Saldo Disponible</t>
  </si>
  <si>
    <t>OBSERVACIONES</t>
  </si>
  <si>
    <t>FECHA DE RADICADO OAP</t>
  </si>
  <si>
    <t>TIPO DE MODIFICACIÒN</t>
  </si>
  <si>
    <t>FECHA DE INCLUSIÓN DE LA MODIFICACIÓN</t>
  </si>
  <si>
    <t>JUSTIFICACIÓN MODIFICACIÓN DE LA LÍNEA</t>
  </si>
  <si>
    <t>404-1</t>
  </si>
  <si>
    <t>404-Fortalecimiento institucional para aumentar la eficiencia de la gestión</t>
  </si>
  <si>
    <t>Desarrollar el 100% de actividades de intervención para el mejoramiento de la infraestructura física, dotacional y administrativa</t>
  </si>
  <si>
    <t>Ejecutar el 100% del plan de acción para la implementación del Sistema Integrado de Gestión de la CVP.</t>
  </si>
  <si>
    <t>03-Recurso Humano</t>
  </si>
  <si>
    <t>04-Gastos de Personal Operativo</t>
  </si>
  <si>
    <t>0311-Personal Contratado para Apoyar y Fortalecer las Labores Administrativas de la Entidad</t>
  </si>
  <si>
    <t>01-Recursos del Distrito</t>
  </si>
  <si>
    <t>12-Otros distrito</t>
  </si>
  <si>
    <t>2.1.03.01.05.03.01.01.98 - A Otras Entidades No Financieras Municipales y/o Distritales no consideradas Empresas</t>
  </si>
  <si>
    <t>095 - Vivienda - General</t>
  </si>
  <si>
    <t>7018 - Transferencias de carácter general entre diferentes niveles de gobierno</t>
  </si>
  <si>
    <t>A.17.1 - PROCESOS INTEGRALES DE EVALUACIÓN INSTITUCIONAL Y REORGANIZACIÓN ADMINISTRATIVA</t>
  </si>
  <si>
    <t>Pago de nómina y aportes patronales para funcionarios de planta temporal y transitoria</t>
  </si>
  <si>
    <t>N/A</t>
  </si>
  <si>
    <t>FOR-035</t>
  </si>
  <si>
    <t>SUBDIRECCION ADMINISTRATIVA</t>
  </si>
  <si>
    <t>404-2</t>
  </si>
  <si>
    <t>PRESTACION DE SERVICIOS PROFESIONALES</t>
  </si>
  <si>
    <t>Contratación Directa</t>
  </si>
  <si>
    <t>FOR-040</t>
  </si>
  <si>
    <t>5922500 a lineas 29 y 34        3131100 DE LINEA 3</t>
  </si>
  <si>
    <t>OF.483</t>
  </si>
  <si>
    <t>Traslado a lineas 29 y 34</t>
  </si>
  <si>
    <t>404-3</t>
  </si>
  <si>
    <t xml:space="preserve">Prestar servicios profesionales para apoyar la planeación,  seguimiento, proyección y evaluación de los proyectos de inversión y los planes de gestión de la Caja de la Vivienda Popular. </t>
  </si>
  <si>
    <t>3131100 A LINEA 2</t>
  </si>
  <si>
    <t>OFICINA ASESORA DE PLANEACION</t>
  </si>
  <si>
    <t>404-4</t>
  </si>
  <si>
    <t>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t>
  </si>
  <si>
    <t>FOR-002</t>
  </si>
  <si>
    <t>404-5</t>
  </si>
  <si>
    <t xml:space="preserve">Prestación de servicios profesionales para apoyar  los procesos de planeación, implementación, seguimiento, evaluación y mejoramiento  del Sistema Integrado de Gestión, así como el cumplimiento de la Ley de Transparencia y los preceptos de Gobierno en línea. </t>
  </si>
  <si>
    <t>FOR-003</t>
  </si>
  <si>
    <t>404-6</t>
  </si>
  <si>
    <t>Prestación de servicios profesionales para apoyar la formulación, seguimiento y monitoreo al cumplimiento de objetivos y metas de los programas, proyectos y planes de acción de gestión que se ejecutan en la entidad</t>
  </si>
  <si>
    <t>FOR-004</t>
  </si>
  <si>
    <t>404-7</t>
  </si>
  <si>
    <t>FOR-005</t>
  </si>
  <si>
    <t>404-8</t>
  </si>
  <si>
    <t>Garantizar el 100 % de los servicios de apoyo y desarrollo institucional para el buen funcionamiento de la Entidad  de acuerdo al plan de acción.</t>
  </si>
  <si>
    <t>Prestación de servicios profesionales para apoyar el desarrollo de auditorias internas, seguimiento y evaluación a los planes establecidos para fortalecer el Sistema de Control Interno y el mejoramiento del Sistema Integrado de Gestión de la Entidad.</t>
  </si>
  <si>
    <t>FOR-006</t>
  </si>
  <si>
    <t>CONTROL INTERNO</t>
  </si>
  <si>
    <t>404-9</t>
  </si>
  <si>
    <t xml:space="preserve">Prestación de servicios profesionales para realizar el seguimiento y evaluación a los procesos, con el fin de fortalecer el Sistema Integrado de Gestión y la sostenibilidad del MECI, apoyando además la ejecución del plan operativo de Control Interno. </t>
  </si>
  <si>
    <t>FOR-007</t>
  </si>
  <si>
    <t>404-10</t>
  </si>
  <si>
    <t xml:space="preserve">Prestación de servicios profesionales para realizar el seguimiento y control al cumplimiento del Sistema Integrado de Gestión de la CVP, así como del Plan Operativo de Control Interno. </t>
  </si>
  <si>
    <t>FOR-008</t>
  </si>
  <si>
    <t>404-11</t>
  </si>
  <si>
    <t>Prestar servicios profesionales en el seguimiento y ajustes que resulten necesarios dentro del sistema integrado de gestión de la Caja de la Vivienda Popular y sus componentes, que se encuentren a cargo de la Dirección Jurídica.</t>
  </si>
  <si>
    <t>FOR-009</t>
  </si>
  <si>
    <t>DIRECCION JURIDICA</t>
  </si>
  <si>
    <t>404-12</t>
  </si>
  <si>
    <t>Prestar servicios profesionales a la Dirección Jurídica en el ejercicio de las actividades de conceptualización, revisión de actos administrativos y demás actividades que requieran ser ejecutadas por la Caja de la Vivienda Popular.</t>
  </si>
  <si>
    <t>FOR-010</t>
  </si>
  <si>
    <t>404-13</t>
  </si>
  <si>
    <t>Prestación de servicios profesionales para apoyar el mejoramiento continuo y la operación del proceso de Gestión Documental a cargo de la Subdirección Administrativa.</t>
  </si>
  <si>
    <t>FOR-011</t>
  </si>
  <si>
    <t>404-14</t>
  </si>
  <si>
    <t>Prestar los servicios profesionales para apoyar a la Subdirección Administrativa en los temas administrativos y de ejecución contractual tendientes al cumplimiento de las metas establecidas.</t>
  </si>
  <si>
    <t>FOR-012</t>
  </si>
  <si>
    <t>404-15</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</si>
  <si>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</si>
  <si>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FOR-013</t>
  </si>
  <si>
    <t>404-16</t>
  </si>
  <si>
    <t>Prestar los servicios profesionales para el mantenimiento y mejora continua del Sistema Integrado de Gestión de los procesos a cargo de la Subdirección Administrativa, así como el seguimiento financiero a las actividades a su cargo.</t>
  </si>
  <si>
    <t>FOR-014</t>
  </si>
  <si>
    <t>404-17</t>
  </si>
  <si>
    <t>Prestación de servicios profesionales para el desarrollo de actividades tendientes al manejo de información confiable, oportuna y en los tiempos requeridos, mejorando los procesos de calidad de la Subdirección Financiera de la Caja de la Vivienda Popular.</t>
  </si>
  <si>
    <t>FOR-015</t>
  </si>
  <si>
    <t>SUBDIRECCION FINANCIERA</t>
  </si>
  <si>
    <t>404-18</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</si>
  <si>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</si>
  <si>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FOR-016</t>
  </si>
  <si>
    <t>404-19</t>
  </si>
  <si>
    <t xml:space="preserve">Prestación de servicios profesionales para realizar el  proceso de convergencia y adapatabilidad del nuevo marco de regulación contable en la Caja de la Vivienda Popular. </t>
  </si>
  <si>
    <t>FOR-017</t>
  </si>
  <si>
    <t>404-20</t>
  </si>
  <si>
    <t>Prestación de servicios profesionales para apoyar a la Subdirección Financiera en la ejecución y seguimiento presupuestal de la Caja de la Vivienda Popular.</t>
  </si>
  <si>
    <t>FOR-018</t>
  </si>
  <si>
    <t>404-21</t>
  </si>
  <si>
    <t>Prestación de servicios profesionales para apoyar las actividades de contabilidad a cargo de la Subdirección Financiera, aplicando la normatividad vigente y atendiendo los procesos y procedimientos establecidos por la entidad.</t>
  </si>
  <si>
    <t>FOR-019</t>
  </si>
  <si>
    <t>404-22</t>
  </si>
  <si>
    <t xml:space="preserve">Prestación de servicios profesionalespara apoyar las actividades relacionadas con el proceso de cartera, aplicando la normatividad vigente y los procedimientos establecidos por la Subdirección Financiera </t>
  </si>
  <si>
    <t>FOR-020</t>
  </si>
  <si>
    <t>404-23</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</si>
  <si>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</si>
  <si>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FOR-021</t>
  </si>
  <si>
    <t>Direccion de gestión corporativa</t>
  </si>
  <si>
    <t>404-24</t>
  </si>
  <si>
    <t>Prestación de servicios profesionales para el acompañamiento jurídico en las diferentes etapas de los procesos de contratación que adelante la Caja de la Vivienda Popular</t>
  </si>
  <si>
    <t>FOR-022</t>
  </si>
  <si>
    <t>404-25</t>
  </si>
  <si>
    <t>Prestación de servicios profesionales para apoyar a la Dirección de Gestión Corporativa y CID en la revisión, estructuración, seguimiento y control de los aspectos financieros y presupuestales a su cargo.</t>
  </si>
  <si>
    <t>FOR-023</t>
  </si>
  <si>
    <t>404-26</t>
  </si>
  <si>
    <t>Prestar servicios profesionales para apoyar el impulso de los procesos disciplinarios que se adelanten en la Caja de la Vivienda Popular y que se encuentran a cargo de la Dirección de Gestión Corporativa y CID en primera instancia.</t>
  </si>
  <si>
    <t>FOR-024</t>
  </si>
  <si>
    <t>404-27</t>
  </si>
  <si>
    <t>Prestación de servicios profesionales para acompañar a la Caja de la Vivienda Popular en el seguimiento y articulación de las estrategias de divulgación que se adelanten.</t>
  </si>
  <si>
    <t>FOR-025 (anul)</t>
  </si>
  <si>
    <t>A LINEAS 58 Y 59</t>
  </si>
  <si>
    <t>404-28</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</si>
  <si>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</si>
  <si>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FOR-026</t>
  </si>
  <si>
    <t>404-29</t>
  </si>
  <si>
    <t>5922500 DE LINEA 2</t>
  </si>
  <si>
    <t>Anulacion viab.</t>
  </si>
  <si>
    <t>404-30</t>
  </si>
  <si>
    <t>FOR-028</t>
  </si>
  <si>
    <t>02-JAN-18</t>
  </si>
  <si>
    <t>404-31</t>
  </si>
  <si>
    <t>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</si>
  <si>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FOR-029</t>
  </si>
  <si>
    <t>404-32</t>
  </si>
  <si>
    <t>Prestación de servicios profesionales para el acompañamiento a la Dirección de Gestión Corporativa y CID, en la revisión, elaboración, monitoreo y articulación de las diferentes actuaciones jurídicas a su cargo.</t>
  </si>
  <si>
    <t>FOR-030</t>
  </si>
  <si>
    <t>404-33</t>
  </si>
  <si>
    <t>Prestación de servicios profesionales para acompañar a la DGC y CID en la revisión, actualización, y/o mejora de los diferentes procesos que se encuentran a su cargo.</t>
  </si>
  <si>
    <t>FOR-031</t>
  </si>
  <si>
    <t>404-34</t>
  </si>
  <si>
    <t>Anulación viab.</t>
  </si>
  <si>
    <t>404-35</t>
  </si>
  <si>
    <t xml:space="preserve">Prestación de servicios profesionales para apoyar la gestión documental del archivo de gestión contractual que se encuentra a cargo de la Dirección de Gestión Corporativa y CID de la Caja de Vivienda Popular. </t>
  </si>
  <si>
    <t>FOR-033</t>
  </si>
  <si>
    <t>404-36</t>
  </si>
  <si>
    <t>FOR-034</t>
  </si>
  <si>
    <t>404-37</t>
  </si>
  <si>
    <t>05-Administración Institucional</t>
  </si>
  <si>
    <t>02-ADMINISTRACIÓN,
CONTROL Y
ORGANIZACIÓN
INSTITUCIONAL PARA
APOYO A LA GESTIÓN DEL
DISTRITO</t>
  </si>
  <si>
    <t>0141-Otros Gastos Administración, Control Y Organización
Institucional Para Apoyo Gestión Del Estado</t>
  </si>
  <si>
    <t>Prestación del servicio integral de organización y levantamiento de inventario único documental de archivos misionales de la caja de la vivienda popular a partir de las tablas de retención documental convalidadas por el Consejo Distrital de Archivos de Bogotá D.C.</t>
  </si>
  <si>
    <t xml:space="preserve">CONTRATO DE PRESTACION DE SERVICIOS </t>
  </si>
  <si>
    <t>404-38</t>
  </si>
  <si>
    <t>02-Dotación</t>
  </si>
  <si>
    <t>06-Gastos Operativos</t>
  </si>
  <si>
    <t>0004-Otros Gastos Operativos</t>
  </si>
  <si>
    <t>Realizar la auditoría interna al Sistema de Gestión de Calidad de la Caja de la Vivienda Popular, de acuerdo con los parámetros establecidos en la Norma Técnica de Calidad ISO 9001:2015.</t>
  </si>
  <si>
    <t>Selección de Minima cuantía</t>
  </si>
  <si>
    <t>FOR-046</t>
  </si>
  <si>
    <t>3150609 de fun-39</t>
  </si>
  <si>
    <t>Mod. Objeto-valor oficio 3103 de fmarzo 2</t>
  </si>
  <si>
    <t>404-39</t>
  </si>
  <si>
    <t>Contratar el desarrollo de actividades culturales en la Semana ambiental de la CVP</t>
  </si>
  <si>
    <t>3150609 a fun-38</t>
  </si>
  <si>
    <t>Mod. Valor - oficio 3103 de marzo 2</t>
  </si>
  <si>
    <t>404-40</t>
  </si>
  <si>
    <t>Licitación Pública</t>
  </si>
  <si>
    <t>FOR-047</t>
  </si>
  <si>
    <t>404-41</t>
  </si>
  <si>
    <t>Pago de Servicios Publicos</t>
  </si>
  <si>
    <t>FOR-043</t>
  </si>
  <si>
    <t>404-42</t>
  </si>
  <si>
    <t xml:space="preserve">Selección Abreviada </t>
  </si>
  <si>
    <t>FOR-051</t>
  </si>
  <si>
    <t>61900000 DE LINEA 48</t>
  </si>
  <si>
    <t>TRASLADO PRESUPUESTAL</t>
  </si>
  <si>
    <t>404-43</t>
  </si>
  <si>
    <t>Suministro de elementos de papelería y oficina requeridos por las diferentes dependencias de la Caja de la Vivienda Popular</t>
  </si>
  <si>
    <t>ORDEN DE COMPRA</t>
  </si>
  <si>
    <t>Selección Abreviada</t>
  </si>
  <si>
    <t>Of. 5460</t>
  </si>
  <si>
    <t>fecha de inicio</t>
  </si>
  <si>
    <t>404-44</t>
  </si>
  <si>
    <t>Servicio de Telefonía Celular</t>
  </si>
  <si>
    <t>FOR-044</t>
  </si>
  <si>
    <t>404-45</t>
  </si>
  <si>
    <t>0005-Alquiler de vehículos</t>
  </si>
  <si>
    <t>FOR-053</t>
  </si>
  <si>
    <t>$35´DE LINEA 46</t>
  </si>
  <si>
    <t>OF. 5254</t>
  </si>
  <si>
    <t>404-46</t>
  </si>
  <si>
    <t>Prestar el servicio público de transporte terrestre automotor especial para la caja de la vivienda popular</t>
  </si>
  <si>
    <t>404-47</t>
  </si>
  <si>
    <t>0133-Vigilancia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</si>
  <si>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</si>
  <si>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FOR-054</t>
  </si>
  <si>
    <t>404-48</t>
  </si>
  <si>
    <t>01-Adquisición y/o Producción de Equipos, Materiales, Suministros y Servicios Propios del Sector</t>
  </si>
  <si>
    <t>0376-Póliza de Seguro para cartera</t>
  </si>
  <si>
    <t>Contratar la póliza de vida grupo deudores para los adjudicatarios y/o cesionarios (aprobados por la entidad) de los créditos para financiación de vivienda.</t>
  </si>
  <si>
    <t>CONTRATO DE SEGUROS</t>
  </si>
  <si>
    <t>404-49</t>
  </si>
  <si>
    <t>0366-Adquisición de Equipos, Materiales y Suministros, Software y Otros Servicios para el Fortalecimiento Institucional</t>
  </si>
  <si>
    <t>Contratar el arrendamiento de un inmueble para la atención oportuna y de calidad a los ciudadanos de la Caja de Vivienda Popular en el local de la carrera 13 N, 54 - 21.</t>
  </si>
  <si>
    <t>CONTRATO DE ARRENDAMIENTO</t>
  </si>
  <si>
    <t>404-50</t>
  </si>
  <si>
    <t>FOR-041</t>
  </si>
  <si>
    <t>OF.0483</t>
  </si>
  <si>
    <t>404-51</t>
  </si>
  <si>
    <t>Adquisición de unidades de almacenamiento (juegos de tapas con ganchos legajadores plásticos y cajas de archivo) para la conservacion de los documentos que produce, recibe y custodia la Caja de la Vivienda Popular.</t>
  </si>
  <si>
    <t>CONTRATO DE COMPRA VENTA</t>
  </si>
  <si>
    <t>Mod. Fecha of. 762</t>
  </si>
  <si>
    <t>404-52</t>
  </si>
  <si>
    <t>404-53</t>
  </si>
  <si>
    <t>Adquirir los insumos para el saneamiento ambiental que garanticen la adecuada conservación de los archivos de la CVP y la protección del personal que allí labora</t>
  </si>
  <si>
    <t>404-54</t>
  </si>
  <si>
    <t>El arrendador entrega al arrendatario a titulo de arrendamiento el inmueble ubicado en la CARRERA 73 No. 57R-12 SUR LOCAL 120, de la localidad de CIUDAD BOLIVAR, de la ciudad de Bogotá, para ser destinado a la atención a los usuarios de la Caja de la Vivienda Popular que hacen parte del programa de reasentamientos humanos.</t>
  </si>
  <si>
    <t>404-55</t>
  </si>
  <si>
    <t>Contratar el servicio de mantenimiento preventivo y correctivo para el sistema de sonido de propiedad de la Caja de la Vivienda Popular.</t>
  </si>
  <si>
    <t>404-56</t>
  </si>
  <si>
    <t>01-Infraestructura</t>
  </si>
  <si>
    <t>06-Mejoramiento y mantenimiento de la infraestructura administrativa</t>
  </si>
  <si>
    <t>0008-Mejoramiento de la Infraestructura Administrativa</t>
  </si>
  <si>
    <t>Contratar la prestación del servicio de mantenimiento del jardín vertical de la caja de la vivienda popular.</t>
  </si>
  <si>
    <t>404-57</t>
  </si>
  <si>
    <t>Adición al contrato 659 de 2017 cuyo objeto es "Contratar el servicio de transporte terrestre auotomotor especial en la modalidad de buses, busetas y vans para la caja de la vivienda popular."</t>
  </si>
  <si>
    <t>Selección Abreviada subasta inversa</t>
  </si>
  <si>
    <t>De linea 45</t>
  </si>
  <si>
    <t>404-58</t>
  </si>
  <si>
    <t>FOR-039</t>
  </si>
  <si>
    <t>De linea 27</t>
  </si>
  <si>
    <t>404-59</t>
  </si>
  <si>
    <t>PRESTACION DE SERVICIOS DE APOYO A LA GESTIÓN</t>
  </si>
  <si>
    <t>404-60</t>
  </si>
  <si>
    <t>Adición y prorroga al contrato 564 de 2017 cuyo objeto es "El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t>
  </si>
  <si>
    <t>FOR-048</t>
  </si>
  <si>
    <t>De línea 48</t>
  </si>
  <si>
    <t xml:space="preserve">$31,1 de línea 48  (traslado con cambio entre conceptos) Of. 3819 </t>
  </si>
  <si>
    <t>404-61</t>
  </si>
  <si>
    <t>Adición y prorroga al contrato 570 de 2017 cuyo objeto es "Alquiler de mobiliario de oficina para garantizar las condiciones de operación del equipo interdisciplinario, requerido en el marco de la ejecución del Decreto No. 457 del 29 de agosto de 2017 emanado por la ALCALDIA MAYOR DE BOGOTA D.C."</t>
  </si>
  <si>
    <t>FOR-049</t>
  </si>
  <si>
    <t xml:space="preserve">$5,165 de línea 48  (traslado con cambio entre conceptos) Of. 3819 </t>
  </si>
  <si>
    <t>404-62</t>
  </si>
  <si>
    <t>Adición y prórroga al contrato 421 de 2017 cuyo objeto es "Contratar la prestación del servicio integral de fotocopiado, encuadernación y fotoplanos que requiera la Caja de la Vivienda Popular de acuerdo con las especificaciones técnicas".</t>
  </si>
  <si>
    <t>FOR-050</t>
  </si>
  <si>
    <t>$35`DE LINEA 42. OF 3847</t>
  </si>
  <si>
    <t>404-63</t>
  </si>
  <si>
    <t>Prestación del servicio de mensajería expresa y motorizada para la recolección, transporte y entrega de la correspondencia de la Caja de la Vivienda Popular.</t>
  </si>
  <si>
    <t>FOR-052</t>
  </si>
  <si>
    <t>DE LINEA 48</t>
  </si>
  <si>
    <t>TRASLADO ENTRE CONCEPTOS  (OF. 5254)</t>
  </si>
  <si>
    <t>SALDO SIN VIABILIZAR
(VALOR PROGRAMADO - VALOR VIABILIDAD (CDP)</t>
  </si>
  <si>
    <t>208-Mejoramiento de Barrios</t>
  </si>
  <si>
    <t>Desarrollar el 100% de las intervenciones priorizadas de mejoramiento</t>
  </si>
  <si>
    <t>15- Contribuir 100% al Mejoramiento de Barrios en los Territorios Priorizados por la SDHT a través de Procesos Estudios y Diseños de Infraestructura en Espacios Públicos a escala barrial para la accesibilidad de los ciudadanos a un Hábitat.</t>
  </si>
  <si>
    <t>01-Construcción, Adecuación y ampliación de infraestructura propia del sector</t>
  </si>
  <si>
    <t>0108-Obras de Urbanismo</t>
  </si>
  <si>
    <t xml:space="preserve">03-Recursos Administrados </t>
  </si>
  <si>
    <t xml:space="preserve">146 Recursos del balance de libre destinación </t>
  </si>
  <si>
    <t>A.7.5 - PLANES Y PROYECTOS PARA LA ADQUISICIÓN Y/O CONSTRUCCIÓN DE VIVIENDA</t>
  </si>
  <si>
    <t>Estudios y Diseños de Infraestructura en espacio público a escala barrial</t>
  </si>
  <si>
    <t>MARZO</t>
  </si>
  <si>
    <t>16- Contribuir 100% al Mejoramiento de Barrios en los Territorios Priorizados por la SDHT a través de Procesos Obras de Infraestructura en Espacios Públicos a escala barrial para la accesibilidad de los ciudadanos a un Hábitat.</t>
  </si>
  <si>
    <t>Obras de Infraestructura en espacio público a escala barrial</t>
  </si>
  <si>
    <t>01- Adquisición y/o producción de equipo, materiales, suministros y servicios propios del sector.</t>
  </si>
  <si>
    <t>0754-Actividades para el fortalecimiento de estrategias de comunicación.</t>
  </si>
  <si>
    <t>A.7.3 - PLANES Y PROYECTOS DE MEJORAMIENTO DE VIVIENDA Y SANEAMIENTO BÁSICO</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</si>
  <si>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</si>
  <si>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Concurso de Meritos</t>
  </si>
  <si>
    <t>ABRIL</t>
  </si>
  <si>
    <t xml:space="preserve">Contratar los servicios de divulgación masiva que optimice la estrategia de comunicación de la Caja de la Vovienda Popular, a traves de los diferentes medios de comunicación y promocione la gestión de las direcciones misionales. </t>
  </si>
  <si>
    <t>AGOSTO</t>
  </si>
  <si>
    <t>0312-Personal Contratado para Apoyar las Actividades Propias de los Proyectos de Inversión Misionales de la Entidad</t>
  </si>
  <si>
    <t>Pago de nómina y aportes patronales de funcionarios de planta temporal de la dirección de mejoramiento de barrios</t>
  </si>
  <si>
    <t>Orden de Prestacion de Servicios</t>
  </si>
  <si>
    <t>ENERO</t>
  </si>
  <si>
    <t>1608-1800-1837</t>
  </si>
  <si>
    <t>CAJA DE VIVIENDA POPULAR</t>
  </si>
  <si>
    <t>25-28-31</t>
  </si>
  <si>
    <t>Viabilización</t>
  </si>
  <si>
    <t>Contratacion Recurso Humano</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</si>
  <si>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</si>
  <si>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POSITIVA COMPAÑIA DE SEGUROS SA</t>
  </si>
  <si>
    <t>Pago ARL</t>
  </si>
  <si>
    <t xml:space="preserve">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t>
  </si>
  <si>
    <t>Prestacion de Servicios</t>
  </si>
  <si>
    <t>MARIA ALEXANDRA TORO CHARRY</t>
  </si>
  <si>
    <t xml:space="preserve">Prestación de Servicios profesionales para apoyar a la Dirección de Mejoramiento de Barrios de la Caja de la Vivienda Popular en los procesos y procedimientos de carácter administrativo, financiero y presupuestal que se requieran. </t>
  </si>
  <si>
    <t>JUAN SEBASTIAN CARDENAS LOZANO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</si>
  <si>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</si>
  <si>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</si>
  <si>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</si>
  <si>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</si>
  <si>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GRETEL STELLA MEDRANO MORA</t>
  </si>
  <si>
    <t xml:space="preserve">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t>
  </si>
  <si>
    <t>JOAQUIN EDUARDO PERDOMO ARTUNDUAGA</t>
  </si>
  <si>
    <t xml:space="preserve">Prestación de servicios para apoyar a la Dirección de Mejoramiento de Barrios de la Caja de la Vivienda Popular en las actividades documentales y operativas de los proyectos de intervención física a escala barrial. </t>
  </si>
  <si>
    <t>CHRISTIAN ALEXIS VALDERRAMA TORRES</t>
  </si>
  <si>
    <t>Prestar servicios profesionales en la Dirección de Mejoramiento de Barrios para el acompañamiento jurídico requerido, sirviendo además de enlace con la Dirección de Gestión Corporativa y CID para el adelantamiento de las diferentes etapas de los procesos de contratación.</t>
  </si>
  <si>
    <t>86 (Anuladada) - 113</t>
  </si>
  <si>
    <t>LAURA FERNANDA GOMEZ RAMIREZ</t>
  </si>
  <si>
    <t>85 (Anulada) - 114</t>
  </si>
  <si>
    <t>Prestación de Servicios profesionales de carácter jurídico para apoyar a la Dirección de Mejoramiento de Barrios de la Caja de la Vivienda Popular.</t>
  </si>
  <si>
    <t>84 (Anulada)</t>
  </si>
  <si>
    <t>83 (Anulada)</t>
  </si>
  <si>
    <t>DIANA CAROLINA ESQUIVEL ROMERO</t>
  </si>
  <si>
    <t>80 (Anulada)</t>
  </si>
  <si>
    <t>79 (Anulada)</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</si>
  <si>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</si>
  <si>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</si>
  <si>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</si>
  <si>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</si>
  <si>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</si>
  <si>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LUISA LORENA BECERRA BENAVIDES</t>
  </si>
  <si>
    <t>ANA YAMILE QUINTERO BERNAL</t>
  </si>
  <si>
    <t>JUAN JOSE SALAMANCA GONZALEZ</t>
  </si>
  <si>
    <t>26/01/208</t>
  </si>
  <si>
    <t>JUAN SEBASTIAN BEJARANO CASTAÑEDA</t>
  </si>
  <si>
    <t>RUBEN DARIO AGUILERA DIAZ</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</si>
  <si>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</si>
  <si>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ANA MARIA BERMUDEZ ANDRADE</t>
  </si>
  <si>
    <t>JHON HAROLD PEÑA COMETTA</t>
  </si>
  <si>
    <t>DANIEL FELIPE OROZCO ROA</t>
  </si>
  <si>
    <t>KEVIN STICK POSADA GUARACA</t>
  </si>
  <si>
    <t>54 (Anulada)</t>
  </si>
  <si>
    <t>53 (Anulada)</t>
  </si>
  <si>
    <t>Prestación de servicios profesionales en los procesos misionales y proyectos especiales, para apoyar la gestión, planeación, concertación y seguimiento a los planes y cronogramas del componente social.</t>
  </si>
  <si>
    <t>LINA MARIA AZUERO GUTIERREZ</t>
  </si>
  <si>
    <t>Prestación de Servicios profesionales para apoyar a la Dirección de Mejoramiento de Barrios de la Caja de Vivienda Popular en los proyectos de intervención física a escala barrial que en materia social se requiera.</t>
  </si>
  <si>
    <t>ANA MARIA LUNA TRUJILLO</t>
  </si>
  <si>
    <t>MARIA ALEJANDRA CERQUERA SANCHEZ</t>
  </si>
  <si>
    <t>MAYRA ALEJANDRA BAUTISTA ROJAS</t>
  </si>
  <si>
    <t>KAREN NATHALY MUÑOZ SANCHEZ</t>
  </si>
  <si>
    <t>ALBA MARIA CAMACHO RINCON</t>
  </si>
  <si>
    <t>Prestación de Servicios profesionales para apoyar a la Dirección de Mejoramiento de Barrios de la Caja de Vivienda Popular en los proyectos de intervención física a escala barrial que en materia técnica se requiera.</t>
  </si>
  <si>
    <t>ANA YANET LEGUIZAMON FANDIÑO</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</si>
  <si>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</si>
  <si>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34 (Anulada)</t>
  </si>
  <si>
    <t>33 (Anulada)</t>
  </si>
  <si>
    <t>HECTOR JAVIER VARGAS NAVARRO</t>
  </si>
  <si>
    <t>JOHN JAIRO SALINAS PIÑEROS</t>
  </si>
  <si>
    <t>Prestación de servicios profesionales en apoyo al equipo técnico de la Dirección de Mejoramiento de Barrios de la Caja de Vivienda Popular en los proyectos de intervención física a escala barrial.</t>
  </si>
  <si>
    <t>028 (Anulada) - 117</t>
  </si>
  <si>
    <t>OSCAR LEONARDO HERNANDEZ VELASQUEZ</t>
  </si>
  <si>
    <t>027 (Anulada) - 118</t>
  </si>
  <si>
    <t>Prestación de servicios para apoyar a la Dirección de Mejoramiento de Barrios de la Caja de la Vivienda Popular, en las actividades técnicas y administrativas requeridas en el desarrollo de los proyectos de intervención física a escala barrial.</t>
  </si>
  <si>
    <t>026 (Anulada) - 111</t>
  </si>
  <si>
    <t>JORGE ALBERTO ACEVEDO TALERO</t>
  </si>
  <si>
    <t>025 (Anulada) - 112</t>
  </si>
  <si>
    <t>ANDRES  LIZARRALDE MARTINEZ</t>
  </si>
  <si>
    <t>DENIS STICK CALCETO</t>
  </si>
  <si>
    <t>20 (Anulada)</t>
  </si>
  <si>
    <t>19 (Anulada)</t>
  </si>
  <si>
    <t>Prestación de servicios profesionales para brindar asesoría jurídica y acompañamiento externo en la gestión contractual y demás trámites administrativos que sean requeridos.</t>
  </si>
  <si>
    <t>LOTERO ZULUAGA ABOGADOS S A S</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</si>
  <si>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</si>
  <si>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WILSON  GUALTEROS AGUILLON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</si>
  <si>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</si>
  <si>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</si>
  <si>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</si>
  <si>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de Apoyo a la Gestión a la Dirección de Mejoramiento de Barrios de la Caja de Vivienda Popular en los proyectos de intervención física a escala barrial requeridos desde el componente Técnico.</t>
  </si>
  <si>
    <t>NICOLAS MAURICIO BAUTE CABARCAS</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</si>
  <si>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</si>
  <si>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MONICA VIVIANA CEBALLOS CRIOLLO</t>
  </si>
  <si>
    <t>Prestar los servicios profesionales para la planeación, realización y desarrollo de contenidos periodísticos que permitan la difusión y divulgación de la gestión de cada una de las áreas misionales de la Caja de la Vivienda Popular.</t>
  </si>
  <si>
    <t>006 (Anulada) - 109</t>
  </si>
  <si>
    <t>FRANCISCO JOSE ARGUELLO ROJAS</t>
  </si>
  <si>
    <t xml:space="preserve"> 15/01/2018</t>
  </si>
  <si>
    <t>005 (Anulado) - 110</t>
  </si>
  <si>
    <t>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t>
  </si>
  <si>
    <t>JHON CARLOS RINCON AGREDO</t>
  </si>
  <si>
    <t>Prestar servicios profesionales en la implementacion y seguimiento de la politica de responsabilidad social, bajo los tres pilares de sostenibilidad a los procesos de gestion misional de la entidad.</t>
  </si>
  <si>
    <t>JULY PAOLA TORRES RISCANEVO</t>
  </si>
  <si>
    <t>Prestación de Servicios profesionales para apoyar a la Dirección de Mejoramiento de Barrios de la Caja de la Vivienda Popular.</t>
  </si>
  <si>
    <t>115 (Anulada)</t>
  </si>
  <si>
    <t>116 (Anulada)</t>
  </si>
  <si>
    <t>Adición al contrato de obra número 597 de 2016 cuyo objeto es "Elaborar los estudios, diseños y la construcción de los códigos de identificación vial-CIV priorizados, ubicados en el sector de Caracolí en la localidad de Ciudad Bolivar y en el sector de Compostela en la Localidad de Usme en Bogotá D.C".</t>
  </si>
  <si>
    <t>Adición</t>
  </si>
  <si>
    <t>FEBRERO</t>
  </si>
  <si>
    <t>208-2</t>
  </si>
  <si>
    <t>UNION TEMPORAL INTERVENCION VIAL CIV</t>
  </si>
  <si>
    <t>Traslado para pagos pasivos exigibles</t>
  </si>
  <si>
    <t>120 (Anulada) - 124</t>
  </si>
  <si>
    <t>121 (Anulada)</t>
  </si>
  <si>
    <t>Contrato de Consultoria</t>
  </si>
  <si>
    <t>Contrato de Obra</t>
  </si>
  <si>
    <t xml:space="preserve">Adición al contrato de obra número 584 de 2016 cuyo objeto es "REALIZAR LA REVISIÓN, AJUSTE, ACTUALIZACIÓN, COMPLEMENTACIÓN Y APROPIACIÓN DE LOS ESTUDIOS Y DISEÑOS, Y LA CONSTRUCCIÓN DE LOS CÓDIGOS DE IDENTIFICACIÓN VIAL - CIV PRIORIZADOS, UBICADOS EN LA LOCALIDAD DE SAN CRISTÓBAL EN LA CIUDAD DE BOGOTÁ D.C."
</t>
  </si>
  <si>
    <t>CONSTRUSOCIAL  S A S</t>
  </si>
  <si>
    <t xml:space="preserve">Adición al contrato de interventoría número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
</t>
  </si>
  <si>
    <t>MIRS LATINOAMERICA S A S</t>
  </si>
  <si>
    <t>471-1</t>
  </si>
  <si>
    <t>471-Titulación de predios y Gestión de Urbanizaciones</t>
  </si>
  <si>
    <t>Titular 10.000 predios</t>
  </si>
  <si>
    <t>Hacer Cierre de 7 procesos de Urbanizacion</t>
  </si>
  <si>
    <t>0352-Personal Contratado para Apoyar las Actividades de titulación</t>
  </si>
  <si>
    <t>2103010503010198 - A Otras Entidades No Financieras Municipales y/o Distritales no consideradas Empresas</t>
  </si>
  <si>
    <t>A.7.7</t>
  </si>
  <si>
    <t>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t>
  </si>
  <si>
    <t>Prestación de servicios</t>
  </si>
  <si>
    <t>Directa</t>
  </si>
  <si>
    <t>TIT-001</t>
  </si>
  <si>
    <t>GRETTA SORAYA BOLAÑO VALENCIA</t>
  </si>
  <si>
    <t>DIRECCION DE TITULACIONES</t>
  </si>
  <si>
    <t>471-2</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</si>
  <si>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</si>
  <si>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TIT-002</t>
  </si>
  <si>
    <t>RAUL  TOVAR MARTINEZ</t>
  </si>
  <si>
    <t>471-3</t>
  </si>
  <si>
    <t>Prestación de servicios profesionales especializados para la asesoría jurídica en materia contractual, fiduciaria y tributaria de la Caja de la Vivienda Popular.</t>
  </si>
  <si>
    <t>TIT-003 ANULADA</t>
  </si>
  <si>
    <t>216 ANULADO</t>
  </si>
  <si>
    <t>Se Anula la Viabilidad TIT-003 mediante memorendo enviado por la DUT según radicado 2018IE2231 de fecha 16/02/2018 y recibido en la OAP el 19/02/2018</t>
  </si>
  <si>
    <t>Anulación viabilidad</t>
  </si>
  <si>
    <t>471-4</t>
  </si>
  <si>
    <t>TIT-004</t>
  </si>
  <si>
    <t>471-5</t>
  </si>
  <si>
    <t>Preste servicios técnicos a la Dirección de Urbanizaciones y Titulación para adelantar actividades de clasificación, registro y archivo de la información, así como en las actividades tendientes a logar la escrituración de los proyectos constructivos desarrollados por la CVP</t>
  </si>
  <si>
    <t>TIT-005</t>
  </si>
  <si>
    <t>JOSE MAURICIO HUEPE PEREZ</t>
  </si>
  <si>
    <t>471-6</t>
  </si>
  <si>
    <t>Obtener 10.000 Titulos</t>
  </si>
  <si>
    <t>Prestar servicios profesionales a la Dirección de Urbanizaciones y Titulación para el acompañamiento social a las  familias objeto de atención en los procesos de la Dirección</t>
  </si>
  <si>
    <t>TIT-006</t>
  </si>
  <si>
    <t>CATHERINE  JAIMES PINTO</t>
  </si>
  <si>
    <t>471-7</t>
  </si>
  <si>
    <t>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t>
  </si>
  <si>
    <t>TIT-007</t>
  </si>
  <si>
    <t>RIGOBERTO  MEDINA TORRES</t>
  </si>
  <si>
    <t>471-8</t>
  </si>
  <si>
    <t>Prestación de  servicios técnicos a la Dirección de Urbanizaciones y Titulación en la implementación de una herramienta que  consolide   la información de los predios de la Caja de la Vivienda Popular en el marco de los procesos misionales de la Dirección.</t>
  </si>
  <si>
    <t>TIT-008</t>
  </si>
  <si>
    <t>NESTOR ROBERTO CUERVO GARCIA</t>
  </si>
  <si>
    <t>471-9</t>
  </si>
  <si>
    <t>Prestación de servicios profesionales a la Dirección de Urbanizaciones y Titulación  en el seguimiento a la ejecución del componente eléctrico de los proyectos de vivienda adelantados por la entidad.</t>
  </si>
  <si>
    <t>TIT-009</t>
  </si>
  <si>
    <t>IVAN OSWALDO LEON LEON</t>
  </si>
  <si>
    <t>471-10</t>
  </si>
  <si>
    <t>Prestar servicios de apoyo a la gestión  a la Dirección de Urbanizaciones y Titulación,  para la ejecución de las actividades necesarias para lograr el saneamiento predial de los inmuebles  identificados por la Caja de la Vivienda Popular.</t>
  </si>
  <si>
    <t>TIT-010</t>
  </si>
  <si>
    <t>FABIO ANDRES FORERO MARTIN</t>
  </si>
  <si>
    <t>471-11</t>
  </si>
  <si>
    <t>Prestación de servicios profesionales a la Dirección de Urbanizaciones y Titulación de apoyo jurídico en los procesos de titulación predial  conforme a los diferentes mecanismos previstos por la ley.</t>
  </si>
  <si>
    <t>TIT-011</t>
  </si>
  <si>
    <t>YULY ALEJANDRA MORALES TREJOS</t>
  </si>
  <si>
    <t>471-12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</si>
  <si>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</si>
  <si>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TIT-012</t>
  </si>
  <si>
    <t>LADY TATIANA PAEZ FONSECA</t>
  </si>
  <si>
    <t>471-13</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</si>
  <si>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</si>
  <si>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TIT-091</t>
  </si>
  <si>
    <t>CARLOS ANDRES PELAEZ PRADA</t>
  </si>
  <si>
    <t>471-14</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</si>
  <si>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</si>
  <si>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TIT-013</t>
  </si>
  <si>
    <t>LINDA MONICA PEDRAZA CAMACHO</t>
  </si>
  <si>
    <t>471-15</t>
  </si>
  <si>
    <t xml:space="preserve">Prestación de servicios profesionales a la Dirección de Urbanizaciones y Titulación de apoyo jurídico en la ejecución de procesos tendientes a la titulación de predios por los diferentes mecanismos de titulación, así como en el análisis de la situación de predios y realización de trámites requeridos en el proceso. </t>
  </si>
  <si>
    <t>TIT-014</t>
  </si>
  <si>
    <t>JUAN JOSE RODRIGUEZ PALACIOS</t>
  </si>
  <si>
    <t>471-16</t>
  </si>
  <si>
    <t>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t>
  </si>
  <si>
    <t>TIT-016</t>
  </si>
  <si>
    <t>JOSE ALEJANDRO RAMIREZ CANO</t>
  </si>
  <si>
    <t>471-17</t>
  </si>
  <si>
    <t>Prestación de servicios profesionales a la Dirección de Urbanizaciones y Titulacion de apoyo juridico para adelantar los procesos de saneamiento predial de conformidad con la normatividad vigente en los diferentes mecanismos de titulación.</t>
  </si>
  <si>
    <t>TIT-017</t>
  </si>
  <si>
    <t>DIEGO MAURICIO GALLEGO AMAYA</t>
  </si>
  <si>
    <t>471-18</t>
  </si>
  <si>
    <t>Prestación de servicios profesionales a la Dirección de Urbanizaciones y Titulación en la formulación  y seguimiento a los instrumentos del Sistema Integrado de Calidad como: plan de  mejoramiento del proceso, caracterización , mapas de riesgo, plan anticorrupción, servicio conforme y no conforme, plan de seguimiento y evaluación a la gestión,  de los procesos misionales a cargo de la dependencia.</t>
  </si>
  <si>
    <t>TIT-018</t>
  </si>
  <si>
    <t>ANGELA MARIA VELEZ CORREA</t>
  </si>
  <si>
    <t>471-19</t>
  </si>
  <si>
    <t>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t>
  </si>
  <si>
    <t>TIT-019</t>
  </si>
  <si>
    <t>RUTH MERY CANIZALES OVALLE</t>
  </si>
  <si>
    <t>471-20</t>
  </si>
  <si>
    <t>TIT-020</t>
  </si>
  <si>
    <t>PAOLA ANDREA MAYORGA GOMEZ</t>
  </si>
  <si>
    <t>471-21</t>
  </si>
  <si>
    <t>TIT-021  ANULADA</t>
  </si>
  <si>
    <t>238 ANULADO</t>
  </si>
  <si>
    <t>Se Anula la Viabilidad TIT-021 mediante memorendo enviado por la DUT según radicado 2018IE2231 de fecha 16/02/2018 y recibido en la OAP el 19/02/2018</t>
  </si>
  <si>
    <t>471-22</t>
  </si>
  <si>
    <t>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t>
  </si>
  <si>
    <t>TIT-022</t>
  </si>
  <si>
    <t>LUZ STELLA CARDENAS LAVERDE</t>
  </si>
  <si>
    <t>471-23</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</si>
  <si>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</si>
  <si>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TIT-023</t>
  </si>
  <si>
    <t>ANDRES  CASTILLO ARELLANO</t>
  </si>
  <si>
    <t>471-24</t>
  </si>
  <si>
    <t>Prestación de  servicios profesionales a la Dirección de Urbanizaciones y Titulación en la identificación y consolidación de los bienes inmuebles de la Caja de la Vivienda popular en sus desarrollos urbanísticos, dentro de los estándares de información implementados por el Distrito Capital y conforme a las necesidades de la Entidad en materia de calidad y seguridad de la información.</t>
  </si>
  <si>
    <t>TIT-024</t>
  </si>
  <si>
    <t>CAROL JULIANA BOLAÑOS SALAMANCA</t>
  </si>
  <si>
    <t>471-25</t>
  </si>
  <si>
    <t>Prestación de servicios de apoyo técnico a la Dirección de Urbanizaciones y Titulación en el proceso de saneamiento de los bienes inmuebles de la Caja de la Vivienda Popular, así como en la identificación, depuración y consolidación del inventario de los mismos.</t>
  </si>
  <si>
    <t>TIT-025</t>
  </si>
  <si>
    <t>LUIS GUILLERMO BARBOSA SANCHEZ</t>
  </si>
  <si>
    <t>471-26</t>
  </si>
  <si>
    <t>Prestacion de servicios</t>
  </si>
  <si>
    <t>TIT-026</t>
  </si>
  <si>
    <t>JOSE DUVAN NUÑEZ MUÑOZ</t>
  </si>
  <si>
    <t>471-27</t>
  </si>
  <si>
    <t>Prestación de servicios profesionales a la Dirección de Urbanizaciones y Titulación  en el seguimiento técnico y administrativo a la ejecución de los proyectos de vivienda adelantados por la entidad.</t>
  </si>
  <si>
    <t>TIT-027</t>
  </si>
  <si>
    <t>JAIME OMAR CAMELO ARDILA</t>
  </si>
  <si>
    <t>471-28</t>
  </si>
  <si>
    <t>TIT-028</t>
  </si>
  <si>
    <t>JEINNY IVONNE GALEANO NIÑO</t>
  </si>
  <si>
    <t>471-29</t>
  </si>
  <si>
    <t xml:space="preserve">Prestación de servicios profesionales a la Dirección de Urbanizaciones y Titulación para apoyar la coordinación de las actividades técnicas necesarias en los procesos de titulación de predios,  tendientes a lograr el saneamiento predial de los bienes identificados en la  Caja de la Vivienda Popular. </t>
  </si>
  <si>
    <t>TIT-029</t>
  </si>
  <si>
    <t>LISETTE  PINEDA GONZALEZ</t>
  </si>
  <si>
    <t>471-30</t>
  </si>
  <si>
    <t>Prestar servicios profesionales a la Dirección de Urbanizaciones y Titulación en la seguimiento, formulacion e implementacion de planeas de mejoramiento que se surtan en virtud de las auditorias de los organismos de control</t>
  </si>
  <si>
    <t>TIT-030</t>
  </si>
  <si>
    <t>BLANCA LILIA TIBOCHA OCHOA</t>
  </si>
  <si>
    <t>471-31</t>
  </si>
  <si>
    <t>Prestación de servicios profesionales a la Dirección de Urbanizaciones y Titulación en la elaboración de avalúos y verificación de linderos de predios  que requiera la Dirección,  así como en el apoyo en los procesos de cartografía que se adelanten.</t>
  </si>
  <si>
    <t>TIT-031</t>
  </si>
  <si>
    <t>JOSE FABIO CORTES PAEZ</t>
  </si>
  <si>
    <t>471-32</t>
  </si>
  <si>
    <t>TIT-032</t>
  </si>
  <si>
    <t>DIEGO ANDRES BAREÑO CAMPOS</t>
  </si>
  <si>
    <t>471-33</t>
  </si>
  <si>
    <t>Prestación de servicios profesionales a la Dirección de Urbanizaciones y Titulación,  para la identificación, georreferenciación y análisis de los predios susceptibles de titular, así como la georreferenciación de los predios que se encuentran en informalidad en el Distrito,  para la ejecución de las actividades técnicas necesarias para lograr el saneamiento predial de los inmuebles  identificados por la Caja de la Vivienda Popular.</t>
  </si>
  <si>
    <t>TIT-033</t>
  </si>
  <si>
    <t>JORGE ENRIQUE GUARIN CASTILLO</t>
  </si>
  <si>
    <t>471-34</t>
  </si>
  <si>
    <t>Prestación de servicios profesionales a la Dirección de Urbanizaciones y Titulación en la articulación, formulación, ejecución y seguimiento de las estrategias y actividades necesarias para el cumplimiento de las metas establecidas en la titulación de predios.</t>
  </si>
  <si>
    <t>TIT-034</t>
  </si>
  <si>
    <t>IVONNE MARITZA GOMEZ CARDONA</t>
  </si>
  <si>
    <t>471-35</t>
  </si>
  <si>
    <t>TIT-035</t>
  </si>
  <si>
    <t>FREDDY HUMBERTO PARADA CUBILLOS</t>
  </si>
  <si>
    <t>471-36</t>
  </si>
  <si>
    <t>Prestación de servicios profesionales a la Dirección de Urbanizaciones y Titulación,  para la identificación, georreferenciación y análisis de los predios susceptibles de ser  titulados, así como las demás actividades técnicas necesarias para lograr el saneamiento predial de los inmuebles  intervenidos por la Caja de la Vivienda Popular.</t>
  </si>
  <si>
    <t>TIT-036</t>
  </si>
  <si>
    <t>ADRIANA PAOLA GARCIA MONTAÑO</t>
  </si>
  <si>
    <t>471-37</t>
  </si>
  <si>
    <t>Prestación de servicios profesionales a la Dirección de Urbanizaciones y Titulación en la  implementación del Sistema Integrado de Gestión de Calidad y en el diseño, actualización e implementación de lineamientos, metodologías, estrategias y procedimientos que le permiten a la Dirección contar con instrumentos adecuados para la planeación, seguimiento y control de sus metas.</t>
  </si>
  <si>
    <t>TIT-037</t>
  </si>
  <si>
    <t>MARISOL  CUADRADO AYALA</t>
  </si>
  <si>
    <t>471-38</t>
  </si>
  <si>
    <t>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t>
  </si>
  <si>
    <t>TIT-038</t>
  </si>
  <si>
    <t>YEIMI  CASTAÑEDA BERMUDEZ</t>
  </si>
  <si>
    <t>471-39</t>
  </si>
  <si>
    <t>TIT-039</t>
  </si>
  <si>
    <t>FREDY OMAR ALVAREZ ARRIETA</t>
  </si>
  <si>
    <t>471-40</t>
  </si>
  <si>
    <t>TIT-040</t>
  </si>
  <si>
    <t>ELISA AYDEE RAMOS ALDANA</t>
  </si>
  <si>
    <t>471-41</t>
  </si>
  <si>
    <t>Prestar servicios profesionales a la Dirección de Urbanizaciones y Titulación en la programación, organización y realización de planes de trabajo dirigidos a brindar acompañamiento social a las comunidades beneficiarias de los programas a cargo de la Dirección.</t>
  </si>
  <si>
    <t>TIT-041</t>
  </si>
  <si>
    <t>MARTHA ELIZABETH CUMPLIDO VILLADIEGO</t>
  </si>
  <si>
    <t>471-42</t>
  </si>
  <si>
    <t>Prestar servicios técnicos a la Dirección de Urbanizaciones y Titulación en el trámite y control a los documentos enviados a las respectivas Oficinas de la Superintendencia de Notariado y Registro, así como en la aplicación de las normas de gestión documental de la dependencia.</t>
  </si>
  <si>
    <t>TIT-042</t>
  </si>
  <si>
    <t>NELLY YAMILE GOMEZ REYES</t>
  </si>
  <si>
    <t>471-43</t>
  </si>
  <si>
    <t>Prestar servicios de apoyo a la gestión a la Dirección de Urbanizaciones y Titulación en las actividades logísticas necesarias para la ejecución del programa, así como en la  realización de actividades de reparto, radicación y seguimiento a trámites de los mecanismos de titulación y urbanizaciones en las entidades donde se requiera.</t>
  </si>
  <si>
    <t>TIT-043</t>
  </si>
  <si>
    <t>HECTOR ALEXANDER AGUILERA</t>
  </si>
  <si>
    <t>471-44</t>
  </si>
  <si>
    <t>TIT-044</t>
  </si>
  <si>
    <t>DIOGENES AUGUSTO LLANOS PINZON</t>
  </si>
  <si>
    <t>471-45</t>
  </si>
  <si>
    <t>Prestación de servicios profesionales a la Dirección de Urbanizaciones y Titulación en el desarrollo de actividades administrativas y financieras relacionadas con los proyectos vivienda VIP.</t>
  </si>
  <si>
    <t>TIT-045</t>
  </si>
  <si>
    <t>MARIA EDELMIRA RINCON LEON</t>
  </si>
  <si>
    <t>471-46</t>
  </si>
  <si>
    <t xml:space="preserve">Prestación de servicios de apoyo a la gestión a la  Dirección de Urbanizaciones y Titulación  para la ejecución de las actividades tendientes a lograr el saneamiento predial de los bienes identificados en la  CVP, sirviendo de apoyo en los tramites administrativos y  jurídicos que se requieran en la  Dirección en el desarrollo de procesos adelantados en los diferentes mecanismos de titulación. </t>
  </si>
  <si>
    <t>TIT-046</t>
  </si>
  <si>
    <t>CAMILO ADOLFO PINILLOS BOHORQUEZ</t>
  </si>
  <si>
    <t>471-47</t>
  </si>
  <si>
    <t>Prestación de servicios técnicos a la Dirección de Urbanizaciones y Titulación para el registro en el sistema de información documental de la Entidad, haciendo seguimiento y control a los expedientes y documentos generados en el programa de titulación, atendiendo todos las normas y sistema integrado de gestión de la Entidad, así como el apoyo logístico a las actividades de la Dirección.</t>
  </si>
  <si>
    <t>TIT-047</t>
  </si>
  <si>
    <t>DIANA  GUEPENDO MOSCOSO</t>
  </si>
  <si>
    <t>471-48</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</si>
  <si>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</si>
  <si>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TIT-048</t>
  </si>
  <si>
    <t>WILLIAM  CADENA ACOSTA</t>
  </si>
  <si>
    <t>471-49</t>
  </si>
  <si>
    <t>Prestar servicios de apoyo a la gestión a la Dirección de Urbanizaciones y Titulación para ejecutar las actividades necesarias en el manejo archivístico de los documentos generados por la Dirección.</t>
  </si>
  <si>
    <t>TIT-049</t>
  </si>
  <si>
    <t>ANDREA VIVIANA SUAREZ CORREA</t>
  </si>
  <si>
    <t>471-50</t>
  </si>
  <si>
    <t xml:space="preserve">Prestación de servicios profesionales a la Dirección de Urbanizaciones y Titulación en el apoyo a la coordinación del componente social de los procesos de titulación a cargo de la Dirección </t>
  </si>
  <si>
    <t>TIT-050</t>
  </si>
  <si>
    <t>SARA MARIA ROJAS GONZALEZ</t>
  </si>
  <si>
    <t>471-51</t>
  </si>
  <si>
    <t>TIT-051</t>
  </si>
  <si>
    <t>ANGIE STEFANIA CASTRO SANTIESTEBAN</t>
  </si>
  <si>
    <t>471-52</t>
  </si>
  <si>
    <t>TIT-052</t>
  </si>
  <si>
    <t>YENNY ASTRID PARDO CUBIDES</t>
  </si>
  <si>
    <t>471-53</t>
  </si>
  <si>
    <t>TIT-053</t>
  </si>
  <si>
    <t>ADRIANA  MORENO BALLEN</t>
  </si>
  <si>
    <t>471-54</t>
  </si>
  <si>
    <t>TIT-054</t>
  </si>
  <si>
    <t>WILLIAM ANTONIO ZAPATA PAEZ</t>
  </si>
  <si>
    <t>471-55</t>
  </si>
  <si>
    <t>Prestación de servicios profesionales a la Dirección de Urbanizaciones y Titulación de apoyo jurídico para adelantar los procesos de saneamiento predial de conformidad con la normatividad vigente en los diferentes mecanismos de titulación.</t>
  </si>
  <si>
    <t>TIT-055</t>
  </si>
  <si>
    <t>JORGE ALBERTO PARAMO HERNANDEZ</t>
  </si>
  <si>
    <t>471-56</t>
  </si>
  <si>
    <t>TIT-056</t>
  </si>
  <si>
    <t>WILLIAN ALFONSO PINZON FIGUEROA</t>
  </si>
  <si>
    <t>471-57</t>
  </si>
  <si>
    <t>TIT-057</t>
  </si>
  <si>
    <t>MARIANA  OVIEDO HERRERA</t>
  </si>
  <si>
    <t>471-58</t>
  </si>
  <si>
    <t>TIT-058</t>
  </si>
  <si>
    <t>ELSA MARIELA MEDINA HIGUERA</t>
  </si>
  <si>
    <t>471-59</t>
  </si>
  <si>
    <t>Prestación de servicios profesionales a la Dirección de Urbanizaciones y Titulación para apoyar la articulación y coordinación de las estrategias que se  adelanten en materia de  saneamiento predial por parte de la Caja de la Vivienda Popular.</t>
  </si>
  <si>
    <t>TIT-059</t>
  </si>
  <si>
    <t>ANA MONICA MARIA VARGAS SUAREZ</t>
  </si>
  <si>
    <t>471-60</t>
  </si>
  <si>
    <t>Prestar servicios de apoyo a la gestión a la Dirección de Urbanizaciones y Titulación en la ejecución de las actividades logísticas necesarias para el programa de titulación, así como para ejecutar las actividades en el manejo archivístico de los documentos generados por la Dirección.</t>
  </si>
  <si>
    <t>TIT-060</t>
  </si>
  <si>
    <t>CARMEN ASTRID VASCO PIEDRAHITA</t>
  </si>
  <si>
    <t>471-61</t>
  </si>
  <si>
    <t>TIT-061</t>
  </si>
  <si>
    <t>JUAN ARMANDO MOLINA PARRA</t>
  </si>
  <si>
    <t>471-62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</si>
  <si>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</si>
  <si>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TIT-062</t>
  </si>
  <si>
    <t>CARLOS EMILIANO ROMERO PUENTES</t>
  </si>
  <si>
    <t>471-63</t>
  </si>
  <si>
    <t xml:space="preserve">Prestación de servicios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 </t>
  </si>
  <si>
    <t>TIT-063</t>
  </si>
  <si>
    <t>JOHANA MARCELA RIAÑO DAZA</t>
  </si>
  <si>
    <t>471-64</t>
  </si>
  <si>
    <t>Prestar servicios de apoyo  a la Dirección de Urbanizaciones y Titulación para ejecutar las actividades necesarias en el manejo archivístico de los documentos generados por la Dirección,  de conformidad con las normas vigentes y Sistema Integrado de Gestión.</t>
  </si>
  <si>
    <t>TIT-064</t>
  </si>
  <si>
    <t>ORLANDO  ROA HERNANDEZ</t>
  </si>
  <si>
    <t>471-65</t>
  </si>
  <si>
    <t>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</si>
  <si>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TIT-065</t>
  </si>
  <si>
    <t>MARIA JOSE LARA ANAYA</t>
  </si>
  <si>
    <t>471-66</t>
  </si>
  <si>
    <t>Prestación de servicios técnicos a la Dirección de Urbanización y Titulación, en el proceso de saneamiento predial de los bienes inmuebles de la Caja de la Vivienda Popular.</t>
  </si>
  <si>
    <t>TIT-066</t>
  </si>
  <si>
    <t>TARCISIO  MOSQUERA RIVAS</t>
  </si>
  <si>
    <t>471-67</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</si>
  <si>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</si>
  <si>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TIT-067</t>
  </si>
  <si>
    <t>MARTHA ALICIA ROMERO VARGAS</t>
  </si>
  <si>
    <t>471-68</t>
  </si>
  <si>
    <t>Prestar servicios profesionales en la implementación  y seguimiento de la política de responsabilidad social, bajo los tres pilares de sostenibilidad a los procesos de gestión misional de la entidad</t>
  </si>
  <si>
    <t>TIT-068</t>
  </si>
  <si>
    <t>471-69</t>
  </si>
  <si>
    <t>Prestación de servicios profesionales a la Dirección de Urbanizaciones y Titulación  en el seguimiento técnico a la ejecución de los proyectos de vivienda adelantados por la entidad.</t>
  </si>
  <si>
    <t>TIT-069</t>
  </si>
  <si>
    <t>DIEGO FERNANDO RIVERA PARRA</t>
  </si>
  <si>
    <t>471-70</t>
  </si>
  <si>
    <t>Prestar servicios profesionales a la Subdirección Financiera de la Caja de Vivienda Popular, como enlace de la Dirección de Urbanizaciones y Titulación, en lo relacionado con el apoyo jurídico requerido para la los procesos de depuración de cartera y contable de la entidad.</t>
  </si>
  <si>
    <t>TIT-070</t>
  </si>
  <si>
    <t>ANGELA MARIA PINZON SANTOS</t>
  </si>
  <si>
    <t>471-71</t>
  </si>
  <si>
    <t>Prestación de servicios profesionales a la Dirección de Urbanizaciones y Titulación para el sostenimiento y mejora continua del proceso a cargo de la Dirección, así como en la implementación de los Planes de Mejora a cargo del área.</t>
  </si>
  <si>
    <t>TIT-071</t>
  </si>
  <si>
    <t>JORGE ENRIQUE VERGARA RAMIREZ</t>
  </si>
  <si>
    <t>471-72</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</si>
  <si>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</si>
  <si>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TIT-072</t>
  </si>
  <si>
    <t>ANGELICA MARIA ROZO BAQUERO</t>
  </si>
  <si>
    <t>471-73</t>
  </si>
  <si>
    <t>TIT-073</t>
  </si>
  <si>
    <t>471-74</t>
  </si>
  <si>
    <t>Prestar los servicios profesionales para la planeación, realización y desarrollo de contenidos periodísticos que permitan la difusión y divulgación de la gestión social que adelanta la CVP con las comunidades, a través de sus programas misionales.</t>
  </si>
  <si>
    <t>TIT-074</t>
  </si>
  <si>
    <t>471-75</t>
  </si>
  <si>
    <t>TIT-075</t>
  </si>
  <si>
    <t>EDWIN ALBERTO ACEVEDO MORENO</t>
  </si>
  <si>
    <t>471-76</t>
  </si>
  <si>
    <t>Prestar servicios de apoyo a la gestión a la Subdirección Financiera de la CVP, como enlace de la Dirección de Urbanizaciones y Titulación para colaborar en las actividades de gestión archivística.</t>
  </si>
  <si>
    <t>TIT-076</t>
  </si>
  <si>
    <t>MARIBEL  QUEVEDO GONZALEZ</t>
  </si>
  <si>
    <t>471-77</t>
  </si>
  <si>
    <t>TIT-077</t>
  </si>
  <si>
    <t>KAREN ALEJANDRA TORRES MORENO</t>
  </si>
  <si>
    <t>471-78</t>
  </si>
  <si>
    <t>Prestación de servicios profesionales a la Dirección de Urbanizaciones y Titulación, para apoyar el diseño, ejecución y seguimiento a la estrategia de formalización de los barrios asentados en tierras fiscales y privadas, en el componente técnico, así como en los procesos de saneamiento adelantados por la CVP sobre bienes de su propiedad.</t>
  </si>
  <si>
    <t>TIT-078</t>
  </si>
  <si>
    <t>OSCAR JAIRO FLETCHER PRIETO</t>
  </si>
  <si>
    <t>471-79</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</si>
  <si>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t>
  </si>
  <si>
    <t>TIT-079</t>
  </si>
  <si>
    <t>LUKAS FERNANDO URIBE FRANCO</t>
  </si>
  <si>
    <t>471-80</t>
  </si>
  <si>
    <t>Prestar servicios profesionales a la Dirección de Urbanizaciones y Titulación en la estructuración y revisión jurídica de los documentos, informes y actos administrativos propios de la dependencia.</t>
  </si>
  <si>
    <t>TIT-080</t>
  </si>
  <si>
    <t>SOFIA  MIRANDA BALLESTEROS</t>
  </si>
  <si>
    <t>471-81</t>
  </si>
  <si>
    <t>TIT-081</t>
  </si>
  <si>
    <t>RENE JAVIER BUITRAGO PEDRAZA</t>
  </si>
  <si>
    <t>471-82</t>
  </si>
  <si>
    <t>TIT-082</t>
  </si>
  <si>
    <t>CLAUDIA LILIANA CORTINA FIERRO</t>
  </si>
  <si>
    <t>471-83</t>
  </si>
  <si>
    <t>Prestación de servicios profesionales a la Dirección de Urbanizaciones y Titulación para realizar todas aquellas actividades relacionadas con el control financiero de los contratos de fiducia mercantil mediante los cuales se ejecuten proyectos de vivienda VIP.</t>
  </si>
  <si>
    <t>TIT-083</t>
  </si>
  <si>
    <t>ALDEITH ARVEY QUEVEDO APERADOR</t>
  </si>
  <si>
    <t>471-84</t>
  </si>
  <si>
    <t xml:space="preserve">Prestación de servicios técnicos a la Dirección de Urbanizaciones y Titulación para la implementación en el registro, seguimiento y control de los actos administrativos tendientes a la titulación de predios, así como la logística necesaria para el manejo de gestión documental. </t>
  </si>
  <si>
    <t>TIT-084</t>
  </si>
  <si>
    <t>JUAN CAMILO AGUIRRE ORTIZ</t>
  </si>
  <si>
    <t>471-85</t>
  </si>
  <si>
    <t>TIT-085</t>
  </si>
  <si>
    <t>471-86</t>
  </si>
  <si>
    <t>Entregar 8 Zonas de Cesión</t>
  </si>
  <si>
    <t xml:space="preserve">Prestación de servicios profesionales a la Dirección de Urbanizaciones y Titulación en el apoyo jurídico para el desarrollo de procesos de identificación y saneamiento predial, así como en la gestión de predios fiscales y de cesiones al Distrito. </t>
  </si>
  <si>
    <t>TIT-086</t>
  </si>
  <si>
    <t>ANA MARIA NORIEGA LORA</t>
  </si>
  <si>
    <t>471-87</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</si>
  <si>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t>
  </si>
  <si>
    <t>TIT-087</t>
  </si>
  <si>
    <t>MONICA FERNANDA ALVARADO GARCIA</t>
  </si>
  <si>
    <t>471-88</t>
  </si>
  <si>
    <t>TIT-088</t>
  </si>
  <si>
    <t>DEYANIRA  OCHOA MANCHOLA</t>
  </si>
  <si>
    <t>471-89</t>
  </si>
  <si>
    <t>Prestar servicios de apoyo a la gestion a la Dirección de Urbanizaciones y Titulación para ejecutar las actividades necesarias en el manejo archivístico de los documentos generados por la Dirección.</t>
  </si>
  <si>
    <t>TIT-089</t>
  </si>
  <si>
    <t>EDGAR RICARDO BOLAÑOS GIL</t>
  </si>
  <si>
    <t>471-90</t>
  </si>
  <si>
    <t xml:space="preserve">Prestación de servicios profesionales a la Dirección de Urbanizaciones y Titulación en la formulación, seguimiento, revisión y actualización de las políticas y procedimientos administrativos y financieros requeridos para la correcta ejecución de los proyectos urbanísticos asociados al proyecto de inversión 471. </t>
  </si>
  <si>
    <t>TIT-090</t>
  </si>
  <si>
    <t>282 ANULADO</t>
  </si>
  <si>
    <t>Se Anula la Viabilidad TIT-090 mediante memorendo enviado por la DUT según radicado 2018IE2231 de fecha 16/02/2018 y recibido en la OAP el 19/02/2018</t>
  </si>
  <si>
    <t>471-91</t>
  </si>
  <si>
    <t>Prestación de servicios profesionales a la Dirección de Urbanizaciones y Titulación para el seguimiento a las zonas verdes y el muro de contención de Sierra Morena</t>
  </si>
  <si>
    <t>471-92</t>
  </si>
  <si>
    <t>Prestación de servicios profesionales a la Dirección de Urbanizaciones y Titulación para el seguimiento a los diseños e interventoría de calvo sur la gallera</t>
  </si>
  <si>
    <t>Se solicita traslador el valor de las lineas 3,21,90 a la línea 92 por haberse anulado las viabilidades y los cdp de dichas lineas.</t>
  </si>
  <si>
    <t>Traslado de valor programado</t>
  </si>
  <si>
    <t>471-93</t>
  </si>
  <si>
    <t>Planta Temporal enero diciembre</t>
  </si>
  <si>
    <t>Resolucion</t>
  </si>
  <si>
    <t>TIT-099-1</t>
  </si>
  <si>
    <t>471-94</t>
  </si>
  <si>
    <t>TIT-100</t>
  </si>
  <si>
    <t>471-95</t>
  </si>
  <si>
    <t>01-Adquisicón y/o producción de equipos, materiales, suministros y servicios propios del sector</t>
  </si>
  <si>
    <t>Prestar los servicios de carácter logístico a nivel distrital y/o nacional que cumpla con las necesidades operativas de BTL en la realización de encuentros de participación ciudadana y en la promoción de la gestión de la entidad y de cada una de sus direcciones misionales.</t>
  </si>
  <si>
    <t>Licitacion</t>
  </si>
  <si>
    <t>471-96</t>
  </si>
  <si>
    <t>471-97</t>
  </si>
  <si>
    <t>471-98</t>
  </si>
  <si>
    <t xml:space="preserve">Contratar los servicios de divulgación masiva que optimice la estrategia de comunicación de la Caja de la Vivienda Popular, a través de los diferentes medios de comunicación y promocione la gestión de las direcciones misionales. </t>
  </si>
  <si>
    <t>471-99</t>
  </si>
  <si>
    <t>06- Subsidios y operaciones financieras</t>
  </si>
  <si>
    <t>06- Subsidio Directo</t>
  </si>
  <si>
    <t>0058 - Subsidios En Especie</t>
  </si>
  <si>
    <t>Sufragar los gastos que impliquen la trasferencia de dominio de los bienes fiscales propiedad de la Caja de la Vivienda Popular por concepto de registro, conforme a lo establecido por el Acuerdo N.º 07 de 02 de Junio de 2017 de la Junta Directiva de la Caja e la Vivienda Popular.</t>
  </si>
  <si>
    <t>DICIEMBRE</t>
  </si>
  <si>
    <t>471-100</t>
  </si>
  <si>
    <t>Prestación de servicios técnicos de apoyo a la Dirección de Urbanizaciones y Titulación en el estudio de la información cartográfica y elaboración de avalúos, así como en el apoyo a los procesos de cierre de urbanizaciones que adelante la Dirección</t>
  </si>
  <si>
    <t>Prestación de Servicios</t>
  </si>
  <si>
    <t>TIT-092</t>
  </si>
  <si>
    <t>OSCAR HUMBERTO PAVA</t>
  </si>
  <si>
    <t>471-101</t>
  </si>
  <si>
    <t>96 - Vivienda - General</t>
  </si>
  <si>
    <t>7019 - Transferencias de carácter general entre diferentes niveles de gobierno</t>
  </si>
  <si>
    <t>A.7.8</t>
  </si>
  <si>
    <t>Prestación de Servicios técnicos de apoyo a la Dirección de Urbanizaciones y Titulación para la ejecución de las actividades tendientes a lograr el saneamiento predial de los bienes identificados en la CVP, sirviendo de apoyo en los trámites jurídicos de la Dirección en el desarrollo de procesos adelantados en los diferentes mecanismos de titulación.</t>
  </si>
  <si>
    <t>TIT-093</t>
  </si>
  <si>
    <t>LESDY MARIA GIRALDO CASTAÑEDA</t>
  </si>
  <si>
    <t>471-102</t>
  </si>
  <si>
    <t>TIT-094</t>
  </si>
  <si>
    <t>471/92</t>
  </si>
  <si>
    <t>471-103</t>
  </si>
  <si>
    <t>Prestar servicios de apoyo a la gestión a la Dirección de Urbanizaciones y Titulación en la ejecución de las actividades necesarias en el manejo archivístico de los documentos generados por la Dirección, aplicando el contro, custodia y depuración del archivo correspondiente, de conformidad con las normas vigentes y Sistema Integrado de Gestión.</t>
  </si>
  <si>
    <t>TIT-095</t>
  </si>
  <si>
    <t>CRISTIAN DAVID OLACHICA SERRANO</t>
  </si>
  <si>
    <t>471-104</t>
  </si>
  <si>
    <t>Prestación de servicios profesionales a la Dirección de Urbanizaciones y Titulación de apoyo jurídico en los procesos de titulación predial conforme a los diferentes mecanismos previstos por la Ley.</t>
  </si>
  <si>
    <t>TIT-096</t>
  </si>
  <si>
    <t>JOSE NAPOLEON STRUSBERG OROZCO</t>
  </si>
  <si>
    <t>471-105</t>
  </si>
  <si>
    <t>Prestación de servicios profesionales a la Dirección de Urbanizaciones y Titulación para realizar todas aquellas actividades relacionadas con la gerencia y estructuración económica y financiera de proyestos de vivienda VIP, asociados al proyecto de inversión 471, al igual prestar acompañamiento financiero en los procesos de adquisicion de suelo ybienes inmuebles para la titulación de predios.</t>
  </si>
  <si>
    <t>TIT-097</t>
  </si>
  <si>
    <t>ANA CECILIA BALLESTEROS URBINA</t>
  </si>
  <si>
    <t>471-106</t>
  </si>
  <si>
    <t>Prestar los servicios profesionales para apoyar a la Dirección de Urbanizaciones y Titulación en la identificación, consolidación, depuración y saneamiento del inventario de bienes inmuebles de la Caja de la Vivienda Popular.</t>
  </si>
  <si>
    <t>TIT-098</t>
  </si>
  <si>
    <t>ANDRES FERNANDO PINTO PATIÑO</t>
  </si>
  <si>
    <t>471-107</t>
  </si>
  <si>
    <t>Sufragar los gastos que impliquen la trasferencia de dominio de los bienes fiscales propiedad de la Caja de la Vivienda Popular por concepto de registro y beneficiencia, conforme a lo establecido por el Acuerdo Nº 07 de 02 de Junio de 2017 de la Junta Directiva de la Caja de la Vivienda Popular.</t>
  </si>
  <si>
    <t>TIT-099</t>
  </si>
  <si>
    <t>DEPARTAMENTO DE CUNDINAMARCA - TESORERIA GENERAL</t>
  </si>
  <si>
    <t>471-108</t>
  </si>
  <si>
    <t>SUPERINTENDENCIA DE NOTARIADO Y REGISTRO</t>
  </si>
  <si>
    <t>471-109</t>
  </si>
  <si>
    <t>Titular 10000 predios</t>
  </si>
  <si>
    <t xml:space="preserve">0268- Otros Gastos Operativos  de Titulación </t>
  </si>
  <si>
    <t>Realizar tramites de escrituracion sobre los predios susceptibles de ser titulados por la CVP</t>
  </si>
  <si>
    <t>JUNIO</t>
  </si>
  <si>
    <t>471-110</t>
  </si>
  <si>
    <t>Realizar tramites de escrituracion, gastos de notariado y registro,  polizas, tramites ante curaduria urbana que se requieran para el cierre de los proyectos constructivos ejecutados por la CVP</t>
  </si>
  <si>
    <t>471-111</t>
  </si>
  <si>
    <t>Realizar tramites de escrituracion, gastos de notariado y registro,  polizas, tramites ante curaduria urbana, que se requieran para la transferencia de las zonas de cesion al DADEP por parte de la CVP</t>
  </si>
  <si>
    <t>471-112</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</si>
  <si>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t>
  </si>
  <si>
    <t>TIT-101</t>
  </si>
  <si>
    <t>AXA COLPATRIA  SEGUROS S.A</t>
  </si>
  <si>
    <t>471-113</t>
  </si>
  <si>
    <t>TIT-102</t>
  </si>
  <si>
    <t>Creación linea nueva mediante oficio con radicado 2018IE2798</t>
  </si>
  <si>
    <t>471-114</t>
  </si>
  <si>
    <t>PAGO DE NOMINA DEL MES DE FEBRERO DE 2018 DE LA PLANTA TEMPORAL PROYECTO 471</t>
  </si>
  <si>
    <t>471-115</t>
  </si>
  <si>
    <t>471-116</t>
  </si>
  <si>
    <t>Solicitud de copias de escritura pública 1453 de 2017, ante la Notaria 74 del Circulo de Bogotá, para finiquitar el proceso de transferencia a título gratuito que la Caja de la Vivienda Popular adelanta frente algunos predios ubicados en la Localidad de San Cristobal Sur, Ciudadela Santa Rosa, anombre del Departamento Administrativo de la Defensoría del Espacio Público -DADEP.</t>
  </si>
  <si>
    <t>Resolución</t>
  </si>
  <si>
    <t>TIT-103</t>
  </si>
  <si>
    <t>HENRY EUGENIO LIZARAZO GONZALEZ</t>
  </si>
  <si>
    <t>471-117</t>
  </si>
  <si>
    <t>Pago de cotización del sistema general de riesgos laborales de las pèrsonas vinculadas a través de un contrato de prestación de servicios con la Caja de la Vivienda Popular que laboran en actividades de alto riesgo, según en el artículo 13 del Decreto 723 de 2013,</t>
  </si>
  <si>
    <t>TIT-104</t>
  </si>
  <si>
    <t>471-118</t>
  </si>
  <si>
    <t>PAGO DE MI PLANILLA SEGURIDAD SOCIAL Y PARAFISCALES DE LA PLANTA TEMPORAL DE LA ENTIDAD DEL MES DE FEBRERO DE 2018 PROYECTO 471</t>
  </si>
  <si>
    <t>CAJA DE LA VIVIENDA POPULAR</t>
  </si>
  <si>
    <t>471-119</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</si>
  <si>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FEBRERO DE 2018</t>
  </si>
  <si>
    <t>06/03//2018</t>
  </si>
  <si>
    <t>471-120</t>
  </si>
  <si>
    <t>PAGO DE NOMINA A FUNCIONARIOS DE PLANTA TEMPORAL DE LA DIRECCIÓN DE URBANIZACIONES Y TITULACIÓN MES DE MARZO DE 2018</t>
  </si>
  <si>
    <t>471-121</t>
  </si>
  <si>
    <t>PAGO DE NOMINA A FUNCIONARIOS DE PLANTA TEMPORAL DE LA DIRECCIÓN DE URBANIZACIONES Y TITULACIÓN MES DE MARZO DE 2019</t>
  </si>
  <si>
    <t>471-122</t>
  </si>
  <si>
    <t>Adición y prorroga al contrato 427 de 2018 cuyo objeto es "prestación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titulación de predios".</t>
  </si>
  <si>
    <t>TIT-105</t>
  </si>
  <si>
    <t>471-123</t>
  </si>
  <si>
    <t>Adición y prorroga al contrato 347 de 2018 cuyo objeto es "Prestación de servicios profesionales a la Dirección de Urbanizaciones y Titulación en el seguimiento a la ejecución del componente eléctrico de los,proyectos de vivienda adelantados por la entidad".}</t>
  </si>
  <si>
    <t>TIT-106</t>
  </si>
  <si>
    <t>471-124</t>
  </si>
  <si>
    <t>Sufragar los costos de liquidación de expensas ante Curaduría Urbana, impuestos de delineación urbana, copias de los planos y demás trámites requeridos ante las Curadurías Urbanas N° 1,3 y 5 de Bogotá, para el proceso de licenciamiento de Demolición y Cerramiento de las Viviendas Transitorias de propiedad de la CVP localizadas en el barrio Los Laches.</t>
  </si>
  <si>
    <t>TIT-107</t>
  </si>
  <si>
    <t>HECTOR CARLOS FERNANDO  HERRERA REYES</t>
  </si>
  <si>
    <t>471-125</t>
  </si>
  <si>
    <t>Sufragar los costos por concepto de gastos notariales en el proceso de la escritura de la transferencia al DADEP de las zonas de cesión de Atahualpa ante la noratía 24 de Círculo de Bogota D.C.</t>
  </si>
  <si>
    <t>TIT-108</t>
  </si>
  <si>
    <t>471-126</t>
  </si>
  <si>
    <t>Sufragar los costos por concepto de gastos notariales e impuestos de registro en el proceso de la escritura de desemglobe y cesión al DADEP del lote denominado equipamiento de la Urbanización Arboleda Santa Teresita ante la notaría 34 del Circulo de Bogotá D.C.</t>
  </si>
  <si>
    <t>Resulucion</t>
  </si>
  <si>
    <t>TIT-109</t>
  </si>
  <si>
    <t>471-127</t>
  </si>
  <si>
    <t>PAGO DE SEGURIDAD SOCIAL Y PARAFISCALES DE FUNCIONARIOS DE PLANTA TEMPORAL DE LA DIRECCIÓN DE URBANIZACIONES Y TITULACIÓN MES MARZO 2018</t>
  </si>
  <si>
    <t>471-128</t>
  </si>
  <si>
    <t>PAGO DE NOMINA DEL MES DE ABRIL DE 2018 DE LA PLANTA TEMPORAL, PROYECTO 471</t>
  </si>
  <si>
    <t>471-129</t>
  </si>
  <si>
    <t>471-130</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</si>
  <si>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ABRIL</t>
  </si>
  <si>
    <t>943-1</t>
  </si>
  <si>
    <t>943-Fortalecimiento institucional para la transparencia, participación ciudadana, control y responsabilidad social y anticorrupción</t>
  </si>
  <si>
    <t xml:space="preserve">Llevar a un 100% la implementación de las leyes 1712 de 2014 (Ley de Transparencia y del Derecho de Acceso a la Información Pública) y 1474 de 2011 </t>
  </si>
  <si>
    <t>Implementar el 100% de plan de acción para la transparencia y las comunicaciones.</t>
  </si>
  <si>
    <t>2.1.03.01.05.03.01.01.98 A Otras Entidades No Financieras Municipales y/o Distritales no consideradas Empresas</t>
  </si>
  <si>
    <t>A.17.1</t>
  </si>
  <si>
    <t>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t>
  </si>
  <si>
    <t>CONTRATO DE PRESTACION DE SERVICIOS PROFESIONALES</t>
  </si>
  <si>
    <t>TRA-001</t>
  </si>
  <si>
    <t>IVAN RODRIGO ROJAS ARBOLEDA</t>
  </si>
  <si>
    <t>943-2</t>
  </si>
  <si>
    <t xml:space="preserve">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 </t>
  </si>
  <si>
    <t>TRA-002</t>
  </si>
  <si>
    <t>JUAN FERNANDO BETANCOURT FRANCO</t>
  </si>
  <si>
    <t>943-3</t>
  </si>
  <si>
    <t>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t>
  </si>
  <si>
    <t>TRA-003</t>
  </si>
  <si>
    <t>ROBERT  URREGO RAMOS</t>
  </si>
  <si>
    <t>943-4</t>
  </si>
  <si>
    <t>Implementar el 100%  del plan de acción de Servicio  a la Ciudadanía</t>
  </si>
  <si>
    <t xml:space="preserve">
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
</t>
  </si>
  <si>
    <t>TRA-004</t>
  </si>
  <si>
    <t>JULIO ANDRES CENDALES MORA</t>
  </si>
  <si>
    <t>943-5</t>
  </si>
  <si>
    <t xml:space="preserve">
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
  </t>
  </si>
  <si>
    <t>TRA-005</t>
  </si>
  <si>
    <t>JOHANA PATRICIA REYES MARCIALES</t>
  </si>
  <si>
    <t>943-6</t>
  </si>
  <si>
    <t>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t>
  </si>
  <si>
    <t>TRA-006</t>
  </si>
  <si>
    <t>JUAN PABLO BOTERO ARAGON</t>
  </si>
  <si>
    <t>943-7</t>
  </si>
  <si>
    <t xml:space="preserve">Prestación de servicios profesionales para el apoyo de  la estrategia de comunicación externa, relaciones públicas y gestión de medios - Free Press de la Caja de la Vivienda Popular, garantizando la efectividad en medios masivos locales, regionales y nacionales. </t>
  </si>
  <si>
    <t>TRA-007</t>
  </si>
  <si>
    <t>EDNA MARGARITA GONZALEZ ARANA</t>
  </si>
  <si>
    <t>943-8</t>
  </si>
  <si>
    <t xml:space="preserve">
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t>
  </si>
  <si>
    <t>TRA-008</t>
  </si>
  <si>
    <t>DIEGO ALEJANDRO RINCON PEREZ</t>
  </si>
  <si>
    <t>943-9</t>
  </si>
  <si>
    <t>Prestación de servicios de apoyo a la gestión, en la atención al servicio al ciudadano, teniendo en cuenta los protocolos, procedimientos y lineamientos establecidos por la CVP.</t>
  </si>
  <si>
    <t>CONTRATO DE PRESTACION DE SERVICIOS DE APOYO A LA GESTION</t>
  </si>
  <si>
    <t>TRA-009</t>
  </si>
  <si>
    <t>ALVARO  DAVILA REMOLINA</t>
  </si>
  <si>
    <t>943-10</t>
  </si>
  <si>
    <t>01-Gastos Operativos</t>
  </si>
  <si>
    <t>0754-Actividades para el fortalecimiento de estratégias de comunicación.</t>
  </si>
  <si>
    <t xml:space="preserve">Prestar los servicios de carácter operativo y logisticos necesarios para la ejecución de una estrategia de btl de comunicación integral, que permita la promoción de la gestión pública de cada una de las direcciones misionales de la caja de la vivienda popular. </t>
  </si>
  <si>
    <t>943-11</t>
  </si>
  <si>
    <t>Prestar los servicios de socialización y divulgación necesarios para la ejecución de una estrategia de comunicación en canales de información masiva, que permita la promoción de cada una de las direcciones misionales de la Caja de la Vivienda Popular.</t>
  </si>
  <si>
    <t>JULIO</t>
  </si>
  <si>
    <t>943-12</t>
  </si>
  <si>
    <t>1174-1</t>
  </si>
  <si>
    <t>1174-Fortalecimiento de las tecnologías de información y la comunicación.</t>
  </si>
  <si>
    <t>Optimizar Sistemas de información para optimizar la gestión (hadware y software)</t>
  </si>
  <si>
    <t xml:space="preserve">Implementar el 100% del plan de acción para el mejoramiento de los sistemas de información . </t>
  </si>
  <si>
    <t>2.1.03.01.05.03.01.01.98 
A Otras Entidades No Financieras Municipales y/o Distritales no consideradas Empresas</t>
  </si>
  <si>
    <t xml:space="preserve">Prestar los servicios profesionales para la construcción y soporte sobre procesos de sistemas de información de la Caja de la Vivienda Popular </t>
  </si>
  <si>
    <t>TIC-001</t>
  </si>
  <si>
    <t>JORGE HUMBERTO PINILLA RAMIREZ</t>
  </si>
  <si>
    <t>1174-2</t>
  </si>
  <si>
    <t>Prestar los servicios profesionales para realizar el soporte, mantenimiento y desarrollo de los aplicativos PERNO de Si-Capital y Desprendibles de Pago para la Caja de la Vivienda Popular</t>
  </si>
  <si>
    <t>TIC-002</t>
  </si>
  <si>
    <t>ESTHER LIGIA VILLARRAGA CIFUENTES</t>
  </si>
  <si>
    <t>1174-3</t>
  </si>
  <si>
    <t>Prestar los servicios profesionales para realizar el soporte, mantenimiento y desarrollo de los aplicativos LIMAY, PAC, OPGET, PREDIS Y CORDIS de Si-Capital para la Caja de la Vivienda Popular.</t>
  </si>
  <si>
    <t>TIC-003</t>
  </si>
  <si>
    <t>LUZ MARINA CHARRY LARA</t>
  </si>
  <si>
    <t>1174-4</t>
  </si>
  <si>
    <t>Prestar los servicios profesionales en la ejecución de actividades de apoyo en la administración de los servicios tecnológicos y  en la implementación del proceso de gestión de TIC en el sistema integrado de gestión, para la oficina TIC de la caja de la vivienda popular</t>
  </si>
  <si>
    <t>TIC-004</t>
  </si>
  <si>
    <t>OSCAR JAVIER ORDUZ GALVIS</t>
  </si>
  <si>
    <t>1174-5</t>
  </si>
  <si>
    <t>Prestar los servicios de apoyo técnico para el soporte y mantenimiento tanto preventivo como correctivo de hardware, software y redes, así como soporte técnico presencial de requerimientos tecnológicos para la Caja de la Vivienda Popular.</t>
  </si>
  <si>
    <t>CONTRATO PRESTACION DE SERVICIOS DE APOYO A LA GESTION</t>
  </si>
  <si>
    <t>TIC-013</t>
  </si>
  <si>
    <t xml:space="preserve"> Se traslada por solictud mediante Ofi. IE353 la suma de $18.297.950 </t>
  </si>
  <si>
    <t>CESAR IVAN QUINTERO GARZON</t>
  </si>
  <si>
    <t>1174-6</t>
  </si>
  <si>
    <t>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</si>
  <si>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TIC-006</t>
  </si>
  <si>
    <t>HERNAN MAURICIO RINCON BEDOYA</t>
  </si>
  <si>
    <t>1174-7</t>
  </si>
  <si>
    <t>Prestar los servicios profesionales especializados de apoyo en actividades de Administración de bases de datos institucionales y de gestión de la información misional de la entidad, para la Oficina TIC de la Caja de la Vivienda Popular</t>
  </si>
  <si>
    <t>TIC-007</t>
  </si>
  <si>
    <t>LUIS ALEXANDER JIMENEZ ALVARADO</t>
  </si>
  <si>
    <t>1174-8</t>
  </si>
  <si>
    <t>Prestar los servicios profesionales en la ejecución de actividades de apoyo en procesos contractuales, gestión de soluciones y trámites en general que se encuentran a cargo de la Oficina TIC para la Caja de la Vivienda Popular</t>
  </si>
  <si>
    <t>TIC-008</t>
  </si>
  <si>
    <t>JAIRO  REMOLINA PEÑALOSA</t>
  </si>
  <si>
    <t>1174-9</t>
  </si>
  <si>
    <t>Prestar los servicios de apoyo técnico para la administración de servidores de aplicación, servidores de información misional y de gestión de la entidad, así como soporte en las redes de comunicación para la Caja de la Vivienda Popular</t>
  </si>
  <si>
    <t>TIC-014</t>
  </si>
  <si>
    <t xml:space="preserve"> Se traslada por solictud mediante Ofi. IE353 la suma de $15.858.223</t>
  </si>
  <si>
    <t>NEPHI ESTEBAN OLIVEROS DEDERLE</t>
  </si>
  <si>
    <t>1174-10</t>
  </si>
  <si>
    <t>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t>
  </si>
  <si>
    <t>TIC-010</t>
  </si>
  <si>
    <t>WILSON  MOLANO FERNANDEZ</t>
  </si>
  <si>
    <t>1174-11</t>
  </si>
  <si>
    <t>TIC-011</t>
  </si>
  <si>
    <t>1174-12</t>
  </si>
  <si>
    <t>Prestar los servicios profesionales para apoyar a la oficina TIC en el desarrollo de actividades de administración de la infraestructura tecnológica, seguridad de la información y redes de comunicación para la Caja de la Vivienda Popular</t>
  </si>
  <si>
    <t>1174-13</t>
  </si>
  <si>
    <t>05-Administración, control y organización institucional</t>
  </si>
  <si>
    <t>02- Administración, control y organización institucional para apoyo a la gestión del distrito</t>
  </si>
  <si>
    <t>0141-Otros gastos Administración, control y organización institucional para apoyo de gestión del estado</t>
  </si>
  <si>
    <t>81112000                                                81112100</t>
  </si>
  <si>
    <t>A.7.3</t>
  </si>
  <si>
    <t>Contratar la prestación de los servicios de Datacenter, Conexión a Internet y Canales Dedicados de oficinas externas para la Caja de la Vivienda Popular.</t>
  </si>
  <si>
    <t>Contrato Interadministrativo</t>
  </si>
  <si>
    <t xml:space="preserve"> Se traslada por solictud mediante Ofi. IE353 la suma de $177.905.000  de la linea No. 13 y se crea linea nueva</t>
  </si>
  <si>
    <t>1174-14</t>
  </si>
  <si>
    <t xml:space="preserve">Fortalecimiento de los Sistemas de información misional  y  de gestión documental de la Caja de Vivienda Popular. </t>
  </si>
  <si>
    <t>Contrato de prestación de servicios</t>
  </si>
  <si>
    <t>1174-15</t>
  </si>
  <si>
    <t xml:space="preserve">Prestar los servicios informáticos y de telecomunicación a través de la línea 195, con el fin de realizar convocatorias a la ciudadanía de conformidad con los requerimientos señalados por la Caja de la Vivienda Popular, en desarrollo de sus programas y proyectos. </t>
  </si>
  <si>
    <t>1174-16</t>
  </si>
  <si>
    <t>Adición al contrato 532 de 2017 cuyo objeto es "Prestar el servicio de mantenimiento preventivo y correctivo del sistema de aire  acondicionado tipo mini-Split ubicado en el centro de cómputo de la Caja de la Vivienda Popular"</t>
  </si>
  <si>
    <t>SEPTIEMBRE</t>
  </si>
  <si>
    <t>1174-17</t>
  </si>
  <si>
    <t>Soporte Mantenimiento y Actualización de Licenciamiento. (Antivirus,  Autocad, 3D Max, Etabs, Adobe Cloude, Carteleras Digitales, ArcGis, CellyCript, Microsoft Office, Windows Server)</t>
  </si>
  <si>
    <t>MAYO</t>
  </si>
  <si>
    <t>1174-18</t>
  </si>
  <si>
    <t>Contratar el servicio de mantenimiento preventivo y correctivo para los equipos de cómputo, servidores, impresoras y escaner de propiedad de la Caja de la Vivienda Popular.</t>
  </si>
  <si>
    <t>1174-19</t>
  </si>
  <si>
    <t xml:space="preserve">Contratar el sumistro e instalación, desmontaje y montaje del cableado estructurado acorde a las necesidades establecidad por la caja de vivienda popular. </t>
  </si>
  <si>
    <t>compra venta</t>
  </si>
  <si>
    <t>1174-20</t>
  </si>
  <si>
    <t>Contratar el servicio de extensión de garantia con repuestos y soporte técnico para el sistema de telefonia corporativa voz/IP de la CVP conforme a las especificaciones ténicas definidas.</t>
  </si>
  <si>
    <t>1174-21</t>
  </si>
  <si>
    <t>Arrendar Equipos Tecnológicos y Periféricos - ETP, de acuerdo a las especificaciones técnicas del Anexo Técnico establecidos conforme a las necesidades de la Caja de la Vivienda Popular.</t>
  </si>
  <si>
    <t> Selección abreviada para la adquisición de bienes y servicio de características técnicas uniformes por compra por catálogo derivado de la celebración de acuerdos marco de precios.</t>
  </si>
  <si>
    <t>TIC-017</t>
  </si>
  <si>
    <t xml:space="preserve">Mediante Ofi. 2018IE1126 solictan que se disminuya la linea 21 y se cree nueva linea , crea la linea 29 por valor de $ 62.302.353  </t>
  </si>
  <si>
    <t>COMPUTEL SYSTEM SAS</t>
  </si>
  <si>
    <t>1174-22</t>
  </si>
  <si>
    <t>03-Recursos Administrados 490-Rendimientos Financieros de Libre Destinación</t>
  </si>
  <si>
    <t>490-Rendimientos
Financieros de Libre
Destinación</t>
  </si>
  <si>
    <t>1174-23</t>
  </si>
  <si>
    <t>03-Recursos Administrados 21-Administrados de Libre Destinación</t>
  </si>
  <si>
    <t>21-Administrados de Libre Destinación</t>
  </si>
  <si>
    <t>1174-24</t>
  </si>
  <si>
    <t>Contratar el servicio de mantenimiento preventivo y correctivo para los UPS de propiedad de la Caja de la Vivienda Popular.</t>
  </si>
  <si>
    <t>1174-25</t>
  </si>
  <si>
    <t>Adquirir a Titulo de compra-venta, equipos portátiles para la Caja de la Vivienda Popular, de acuerdo a caracteríticas y  cantidades descritas en el documento Anexo Técnico.</t>
  </si>
  <si>
    <t>1174-26</t>
  </si>
  <si>
    <t>Adquisición de Buzones de correo electrónico y herramientas de colaboración en la nube para la CVP.</t>
  </si>
  <si>
    <t>1174-27</t>
  </si>
  <si>
    <t>SUMINISTRO DE TONNER, CINTAS Y DEMÁS ELEMENTOS REQUERIDOS PARA EQUIPOS DE IMPRESIÓN DE LA CAJA DE LA VIVIENDA POPULAR</t>
  </si>
  <si>
    <t>1174-28</t>
  </si>
  <si>
    <t xml:space="preserve">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 
</t>
  </si>
  <si>
    <t>Contratacion Directa</t>
  </si>
  <si>
    <t>TIC-015</t>
  </si>
  <si>
    <t>IVAN DARIO CORTES WILCHES</t>
  </si>
  <si>
    <t>1174-29</t>
  </si>
  <si>
    <t>Adición al contrato 327 de 2017, cuyo objeto es: Contratar el arrendamiento de equipos tecnológicos y periféricos con destino a las diferentes dependencias de la Caja de la Vivienda Popular. </t>
  </si>
  <si>
    <t>TIC-016</t>
  </si>
  <si>
    <t>PC COM S A</t>
  </si>
  <si>
    <t>1174-30</t>
  </si>
  <si>
    <t xml:space="preserve">Adquirir a Titulo de compra-venta, Equipos de Escritorios, de acuerdo a las especificaciones técnicas del Anexo Técnico establecidos conforme a las necesidades de la Caja de la Vivienda Popular
</t>
  </si>
  <si>
    <t>TIC-018</t>
  </si>
  <si>
    <t>Solicitud de viabilidad mediante oficio 2018IE3509 de marzo 6 de 2018</t>
  </si>
  <si>
    <t>COLOMBIANA DE SOFTWARE Y HARDWARE COLSOF S A</t>
  </si>
  <si>
    <t>1174-31</t>
  </si>
  <si>
    <t>TIC-019</t>
  </si>
  <si>
    <t xml:space="preserve">Solicitud de viabilidad mediante oficio 2018IE3989 </t>
  </si>
  <si>
    <t>1174-32</t>
  </si>
  <si>
    <t>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t>
  </si>
  <si>
    <t>Arrendamiento</t>
  </si>
  <si>
    <t>2,5</t>
  </si>
  <si>
    <t>TIC-020</t>
  </si>
  <si>
    <t xml:space="preserve">Mediante Ofi. 2018IE5064 solictan que se disminuya la linea 24 y se cree nueva linea , crea la linea 32 por valor de $ 2.511.218  </t>
  </si>
  <si>
    <t>1174-33</t>
  </si>
  <si>
    <t>Adquirir el licenciamiento de Microsoft Office Profesional para uso de la Caja de la Vivienda Popular.</t>
  </si>
  <si>
    <t>mayo</t>
  </si>
  <si>
    <t>TIC-021</t>
  </si>
  <si>
    <t>7328-1</t>
  </si>
  <si>
    <t>7328 - Mejoramiento de vivienda en sus condiciones físicas y de habitabilidad en los asentamientos humanos priorizados en área urbana y rural.</t>
  </si>
  <si>
    <t>Realizar 20.400 asistencias técnicas, jurídicas y sociales a las intervenciones integrales de mejoramiento de vivienda en los territorios priorizados por la Secretaria Distrital del Hábitat en el área urbana y rural del distrito.</t>
  </si>
  <si>
    <t>2.1.03.01.05.03.01.01.98</t>
  </si>
  <si>
    <t>95 Vivienda - General</t>
  </si>
  <si>
    <t>7018 Transferencias de carácter general entre diferentes niveles de gobierno</t>
  </si>
  <si>
    <t>A.7.3 PLANES Y PROYECTOS DE MEJORAMIENTO DE VIVIENDA Y SANEAMIENTO BÁSICO</t>
  </si>
  <si>
    <t>Pago de Nómina y aportes patronales de funcionarios de planta temporal de la Dirección de Mejoramiento de Vivienda</t>
  </si>
  <si>
    <t>RELACION DE AUTORIZACION</t>
  </si>
  <si>
    <t>7328-2</t>
  </si>
  <si>
    <t>Realizar 8.610 visitas para supervisar la interventoría de las obras de Mejoramiento de Vivienda, priorizadas por la Secretaria Distrital del Hábitat, en el área urbana y rural.</t>
  </si>
  <si>
    <t>7328-3</t>
  </si>
  <si>
    <t>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t>
  </si>
  <si>
    <t>MV - 057</t>
  </si>
  <si>
    <t>375 - 378 - 758 - 1021 - 1386 - 1531 - 1607</t>
  </si>
  <si>
    <t>Viabilizacion</t>
  </si>
  <si>
    <t>Pago de Nómina y Pago patronales Planta Temporal</t>
  </si>
  <si>
    <t>7328-4</t>
  </si>
  <si>
    <t>Prestación de servicios profesionales para apoyar la estructuración, seguimiento y supervisión de los proyectos asignados por la Dirección de Mejoramiento de Vivienda de la CVP</t>
  </si>
  <si>
    <t>MV - 001</t>
  </si>
  <si>
    <t>ANULADA</t>
  </si>
  <si>
    <t>Se anula la viabilidad, por solicitud de la dirección de mejoramiento de vivienda, mediante radicado 2018IE286 del 11 de enero de 2018</t>
  </si>
  <si>
    <t>Contratacion recurso humano</t>
  </si>
  <si>
    <t>7328-5</t>
  </si>
  <si>
    <t>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</si>
  <si>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- 002</t>
  </si>
  <si>
    <t>CRISTHIAN DAVID TORRES MARTINEZ</t>
  </si>
  <si>
    <t>7328-6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</si>
  <si>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</si>
  <si>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- 003</t>
  </si>
  <si>
    <t>ELIZABETH MARCIALES DAZA</t>
  </si>
  <si>
    <t>7328-7</t>
  </si>
  <si>
    <t>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</si>
  <si>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- 004</t>
  </si>
  <si>
    <t>MARIA JULIANA CABELLO CERVANTES</t>
  </si>
  <si>
    <t>7328-8</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</si>
  <si>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</si>
  <si>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- 005</t>
  </si>
  <si>
    <t xml:space="preserve">ROBERTO MANUEL CARRILLO RODRIGUEZ </t>
  </si>
  <si>
    <t>7328-9</t>
  </si>
  <si>
    <t>Adición y prórroga al contrato 348 cuyo objeto es:"Prestación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</si>
  <si>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- 006</t>
  </si>
  <si>
    <t>GIOVANNI QUIROGA BERMUDEZ</t>
  </si>
  <si>
    <t>Adicion y prorroga contrato 348</t>
  </si>
  <si>
    <t>7328-10</t>
  </si>
  <si>
    <t>MV - 007</t>
  </si>
  <si>
    <t>7328-11</t>
  </si>
  <si>
    <t>MV - 008</t>
  </si>
  <si>
    <t xml:space="preserve">JOSE GABRIEL MENDOZA SANTOS </t>
  </si>
  <si>
    <t>7328-12</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</si>
  <si>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</si>
  <si>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- 009</t>
  </si>
  <si>
    <t>LEIDY VANESSA MARTINEZ MONROY</t>
  </si>
  <si>
    <t>7328-13</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</si>
  <si>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</si>
  <si>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- 010</t>
  </si>
  <si>
    <t xml:space="preserve">JOSE ANDRES ACUÑA VIVAS </t>
  </si>
  <si>
    <t>7328-14</t>
  </si>
  <si>
    <t>MV - 011</t>
  </si>
  <si>
    <t>CAROL JINETH PEREZ SALVADOR</t>
  </si>
  <si>
    <t>7328-15</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</si>
  <si>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</si>
  <si>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- 012</t>
  </si>
  <si>
    <t xml:space="preserve">DORIS MARSELLA GARCIA PRIETO </t>
  </si>
  <si>
    <t>7328-16</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</si>
  <si>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</si>
  <si>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MV - 013</t>
  </si>
  <si>
    <t>JULIANA ALEJANDRA MARTHEYN NÚÑEZ</t>
  </si>
  <si>
    <t>7328-17</t>
  </si>
  <si>
    <t>MV - 014</t>
  </si>
  <si>
    <t xml:space="preserve">HECTOR JULIO CASTAÑEDA PULIDO </t>
  </si>
  <si>
    <t>7328-18</t>
  </si>
  <si>
    <t>Prestación de servicios profesionales apoyando la gestión documental, inventario y manejo del archivo físico, en cumplimiento de los procedimientos de la Dirección de Mejoramiento de Vivienda de la CVP.</t>
  </si>
  <si>
    <t>MV - 015</t>
  </si>
  <si>
    <t>OLGA YOLIMA ROJAS RODRIGUEZ</t>
  </si>
  <si>
    <t>7328-19</t>
  </si>
  <si>
    <t>Prestación de servicios técnicos de apoyo a la gestión documental, inventario y manejo del archivo físico, en cumplimiento de los procedimientos de la Dirección de Mejoramiento de Vivienda de la CVP</t>
  </si>
  <si>
    <t>MV - 016</t>
  </si>
  <si>
    <t>ADRIANA PAOLA MORALES LOZANO</t>
  </si>
  <si>
    <t>7328-20</t>
  </si>
  <si>
    <t>Prestar servicios asistenciales en la Gestión Documental, captura de datos, inventario y manejo de archivo físico, en cumplimiento de los procedimientos de la Dirección de Mejoramiento de Vivienda de la CVP.</t>
  </si>
  <si>
    <t>MV - 017</t>
  </si>
  <si>
    <t>JOSE GIOVANNI VARON CAMELO</t>
  </si>
  <si>
    <t>7328-21</t>
  </si>
  <si>
    <t>MV - 018</t>
  </si>
  <si>
    <t xml:space="preserve">ASTRID ROCIO MUÑOZ QUIROGA </t>
  </si>
  <si>
    <t>7328-22</t>
  </si>
  <si>
    <t>Adición y Prórroga al contrato 145, cuyo objeto es: "Prestar servicios asistenciales en la Gestión Documental, captura de datos, inventario y manejo de archivo físico, en cumplimiento de los procedimientos de la Dirección de Mejoramiento de Vivienda de la CVP".</t>
  </si>
  <si>
    <t>MV - 019</t>
  </si>
  <si>
    <t>MARITZA FONTECHA</t>
  </si>
  <si>
    <t>Adicion y prorroga contrato 145</t>
  </si>
  <si>
    <t>7328-23</t>
  </si>
  <si>
    <t>7328-24</t>
  </si>
  <si>
    <t>MV - 020</t>
  </si>
  <si>
    <t xml:space="preserve">JAQUELINE MORALES RAMIREZ </t>
  </si>
  <si>
    <t>7328-25</t>
  </si>
  <si>
    <t>MV - 021</t>
  </si>
  <si>
    <t>WENDY JULIETH ROJAS CRUZ</t>
  </si>
  <si>
    <t>7328-26</t>
  </si>
  <si>
    <t>MV - 022</t>
  </si>
  <si>
    <t>BELKIS MARIA PEREZ LEMUS</t>
  </si>
  <si>
    <t>7328-27</t>
  </si>
  <si>
    <t>Prestación de servicios de apoyo a la gestión documental, inventario y manejo del archivo físico, en cumplimiento de los procedimientos de la Dirección de Mejoramiento de Vivienda de la CVP.</t>
  </si>
  <si>
    <t>MV - 023</t>
  </si>
  <si>
    <t>EDINSON AGUJA MATOMA</t>
  </si>
  <si>
    <t>7328-28</t>
  </si>
  <si>
    <t>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t>
  </si>
  <si>
    <t>MV - 024</t>
  </si>
  <si>
    <t xml:space="preserve">FELKYN EDUARDO SANDOVAL NUÑEZ </t>
  </si>
  <si>
    <t>7328-29</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</si>
  <si>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</si>
  <si>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MV - 025</t>
  </si>
  <si>
    <t>ALMA KARINA DE CASTRO MARIN</t>
  </si>
  <si>
    <t>7328-30</t>
  </si>
  <si>
    <t>Prestación de servicios técnicos para adelantar el soporte técnico y apoyar desde su experticia en la generación, consolidación y divulgación de información estratégica de los proyectos de la DMV, que contribuya a fortalecer los sistemas de información institucionales.</t>
  </si>
  <si>
    <t>MV - 026</t>
  </si>
  <si>
    <t xml:space="preserve">ALEX FERNANDO GONZALEZ VILLANUEVA </t>
  </si>
  <si>
    <t>7328-31</t>
  </si>
  <si>
    <t>Prestación de servicios profesionales para adelantar la consulta, revisión, consolidación, organización, actualización y disposición de la información cartográfica, gráfica y alfanumérica en la Dirección de Mejoramiento de Vivienda de la CVP</t>
  </si>
  <si>
    <t>MV - 027</t>
  </si>
  <si>
    <t xml:space="preserve">JHOAN EDUARDO JAIMES CARDENZAS </t>
  </si>
  <si>
    <t>7328-32</t>
  </si>
  <si>
    <t>Prestar los servicios profesionales para apoyar el control y evaluación financiera durante la ejecución, avance y cumplimiento del proyecto Mejoramiento de vivienda en sus condiciones físicas y de habitabilidad en los asentamientos humanos priorizados en área urbana y rural.</t>
  </si>
  <si>
    <t>MV - 028</t>
  </si>
  <si>
    <t>LEDYS MARCELA AJIACO AJIACO</t>
  </si>
  <si>
    <t>7328-33</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</si>
  <si>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</si>
  <si>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MV - 029</t>
  </si>
  <si>
    <t>MANUEL ALEJANDRO PINILLA FORERO</t>
  </si>
  <si>
    <t>7328-34</t>
  </si>
  <si>
    <t>Adición y Prórroga al contrato 317,  cuyo objeto es:"Prestar los servicios profesionales para apoyar y acompañar en el proceso de Supervisión de Interventoría de Obras de la Dirección de Mejoramiento de Vivienda, asesorando de acuerdo a la normatividad vigente y planeando alternativas técnicas para su desarrollo"</t>
  </si>
  <si>
    <t>MV - 030</t>
  </si>
  <si>
    <t>FERNANDO ENRIQUE OROZCO VARGAS</t>
  </si>
  <si>
    <t>Prestar los servicios profesionales para apoyar y acompañar en el proceso de Supervisión de Interventoría de Obras de la Dirección de Mejoramiento de Vivienda, asesorando de acuerdo a la normatividad vigente y planeando alternativas técnicas para su desarrollo.</t>
  </si>
  <si>
    <t>7328-36</t>
  </si>
  <si>
    <t>MV - 031</t>
  </si>
  <si>
    <t>RONALD ARCILA MORENO</t>
  </si>
  <si>
    <t>7328-37</t>
  </si>
  <si>
    <t>MV - 032</t>
  </si>
  <si>
    <t>IVAN DARIO SUESCUN QUIÑONES</t>
  </si>
  <si>
    <t>7328-38</t>
  </si>
  <si>
    <t>MV - 033</t>
  </si>
  <si>
    <t>JOHN ALEXANDER CORREDOR FONSECA</t>
  </si>
  <si>
    <t>7328-39</t>
  </si>
  <si>
    <t>MV - 034</t>
  </si>
  <si>
    <t>ISOLIER ANDRÉS EGUIS BENITEZ</t>
  </si>
  <si>
    <t>7328-40</t>
  </si>
  <si>
    <t>MV - 035</t>
  </si>
  <si>
    <t>EDGAR ANDRES PASTRAN CHAUX</t>
  </si>
  <si>
    <t>7328-41</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</si>
  <si>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</si>
  <si>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MV - 036</t>
  </si>
  <si>
    <t>GLORIA IRAIDA THALJI RAVELO</t>
  </si>
  <si>
    <t>7328-42</t>
  </si>
  <si>
    <t xml:space="preserve"> prestar los servicios profesionales para apoyar la supervisiòn social de las obras de los proyectos territoriales, ademàs efectuar la gestiòn social a los hogares de los territoriales dirigidos que se presenten para optar al subsidio distrital de vivienda en especie"</t>
  </si>
  <si>
    <t>MV - 037</t>
  </si>
  <si>
    <t xml:space="preserve">MONICA AVILA CANTOR </t>
  </si>
  <si>
    <t>7328-43</t>
  </si>
  <si>
    <t>MV - 038</t>
  </si>
  <si>
    <t xml:space="preserve">DIANA MARCELA ORDUZ VALBUENA </t>
  </si>
  <si>
    <t>7328-44</t>
  </si>
  <si>
    <t>MV - 039</t>
  </si>
  <si>
    <t>CAMILO GUAJE NIETO</t>
  </si>
  <si>
    <t>7328-45</t>
  </si>
  <si>
    <t>MV - 040</t>
  </si>
  <si>
    <t>ADALIA SERRANO RODRIGUEZ</t>
  </si>
  <si>
    <t>7328-46</t>
  </si>
  <si>
    <t>MV - 041</t>
  </si>
  <si>
    <t>CARMEN SOFIA TINOCO MENDOZA</t>
  </si>
  <si>
    <t>7328-47</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</si>
  <si>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</si>
  <si>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MV - 042</t>
  </si>
  <si>
    <t>JUAN PABLO LUGO BOTELLO</t>
  </si>
  <si>
    <t>7328-48</t>
  </si>
  <si>
    <t>MV - 043</t>
  </si>
  <si>
    <t>FABIO ANDRES MORALES CLEVES</t>
  </si>
  <si>
    <t>7328-49</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</si>
  <si>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t>
  </si>
  <si>
    <t>MV - 48</t>
  </si>
  <si>
    <t xml:space="preserve">JUAN PABLO SANTIAGO CASTELLANOS MACIAS </t>
  </si>
  <si>
    <t>7328-50</t>
  </si>
  <si>
    <t>Traslado Presupuestal para pago de pasivos Exigibles</t>
  </si>
  <si>
    <t>MV - 044(ANULADA) - MV - 062</t>
  </si>
  <si>
    <t>Traslado para pago de pasivos exigibles</t>
  </si>
  <si>
    <t>7328-51</t>
  </si>
  <si>
    <t>MV - 045</t>
  </si>
  <si>
    <t xml:space="preserve">MARTHA CONSUELO CASAS GARZON </t>
  </si>
  <si>
    <t>7328-52</t>
  </si>
  <si>
    <t>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t>
  </si>
  <si>
    <t>MV - 046</t>
  </si>
  <si>
    <t>MARTHA BIBIANA ESTUPIÑAN CRUZ</t>
  </si>
  <si>
    <t>7328-53</t>
  </si>
  <si>
    <t>Prestar los servicios profesionales para apoyar a la Oficina Asesora de Comunicaciones en el desarrollo de la Estrategia de Comuniaciones de la entidad a través de la producción de contenidos periodísticos para los medios internos y externos de la Caja de la Vivienda Popular</t>
  </si>
  <si>
    <t>MV - 049</t>
  </si>
  <si>
    <t>Se anula la viabilidad, por solicitud de la dirección de mejoramiento de vivienda, mediante radicado 2018IE332 del 15 de enero de 2018</t>
  </si>
  <si>
    <t>7328-54</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</si>
  <si>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</si>
  <si>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MV - 050</t>
  </si>
  <si>
    <t>Se anula la viabilidad, por solicitud de la dirección de mejoramiento de vivienda, mediante radicado 2018IE333 del 15 de enero de 2018</t>
  </si>
  <si>
    <t>7328-55</t>
  </si>
  <si>
    <t>MV - 047</t>
  </si>
  <si>
    <t>7328-56</t>
  </si>
  <si>
    <t>Prestar los Servicios profesionales en la implementación y seguimiento de la política de responsabilidad social, bajo los tres pilares de sostenibilidad a los procesos de gestión misional de la entidad.</t>
  </si>
  <si>
    <t>MV - 052</t>
  </si>
  <si>
    <t>7328-57</t>
  </si>
  <si>
    <t>MV - 051</t>
  </si>
  <si>
    <t>7328-58</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</si>
  <si>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</si>
  <si>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ORDEN DE PRESTACION DE SERVICIOS</t>
  </si>
  <si>
    <t>MV - 056</t>
  </si>
  <si>
    <t>723-1540</t>
  </si>
  <si>
    <t>POSITIVA</t>
  </si>
  <si>
    <t>7328-59</t>
  </si>
  <si>
    <t>A.17.1 PROCESOS INTEGRALES DE EVALUACIÓN INSTITUCIONAL Y REORGANIZACIÓN ADMINISTRATIVA</t>
  </si>
  <si>
    <t>Contratar los servicios de divulgación masiva que optimice la estrategia de comunicación de la Caja de la Vovienda Popular, a traves de los diferentes medios de comunicación y promocione la gestión de las direcciones misionales.</t>
  </si>
  <si>
    <t>CONTRATO INTERADMINISTRATIVO DE PRESTACION DE SERVICIOS</t>
  </si>
  <si>
    <t>DIVULGACION</t>
  </si>
  <si>
    <t>7328-60</t>
  </si>
  <si>
    <t>7328-61</t>
  </si>
  <si>
    <t>CONTRATO DE PRESTACION DE SERVICIOS</t>
  </si>
  <si>
    <t>BTL</t>
  </si>
  <si>
    <t>7328-62</t>
  </si>
  <si>
    <t xml:space="preserve">Adicion y Prorroga al contrato, cuyo objetivo es: "Prestacion de servicios tecnicos relacionados con la elaboracion de levantamientos arquitectonicos,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t>
  </si>
  <si>
    <t>Mínima Cuantía</t>
  </si>
  <si>
    <t>7328-63</t>
  </si>
  <si>
    <t>04-Investigación y Estudios</t>
  </si>
  <si>
    <t>01-Investigación Básica Aplicada y Estudios Propios del Sector</t>
  </si>
  <si>
    <t>0113- Estudios de Evaluación, diseño geotécnico y/o estructural de las viviendas a mejorar</t>
  </si>
  <si>
    <t>03-Recursos Administrados</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</si>
  <si>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</si>
  <si>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CONTRATO DE CONSULTORIA</t>
  </si>
  <si>
    <t>ESTUDIO DE SUELOS</t>
  </si>
  <si>
    <t>7328-64</t>
  </si>
  <si>
    <t>Adición y Prórroga al contrato 670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</si>
  <si>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LAURA MARCELA MORENO CASTILLO</t>
  </si>
  <si>
    <t>7328-65</t>
  </si>
  <si>
    <t>Adición y Prórroga al contrato 671 de 2017, cuyo objeto es: Prestar los servicios profesionales para apoyar desde el componente social,  la ejecución de actividades asociadas a la estructuración de proyectos del subsidio distrital para el mejoramiento de vivienda.</t>
  </si>
  <si>
    <t>LIZETH PAOLA ESCALANTE ALARCON</t>
  </si>
  <si>
    <t>7328-66</t>
  </si>
  <si>
    <t>Adición y Prórroga al contrato 662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</si>
  <si>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SERGIO SEBASTIAN OSORIO VAGNER</t>
  </si>
  <si>
    <t>7328-67</t>
  </si>
  <si>
    <t>Adición y Prórroga al contrato 665 de 2017, cuyo objeto es: Prestar los servicios profesionales para apoyar desde el componente social,  la ejecución de actividades asociadas a la estructuración de proyectos del subsidio distrital para el mejoramiento de vivienda.</t>
  </si>
  <si>
    <t xml:space="preserve">JAIME ANDRES SAAVEDRA PRIETO </t>
  </si>
  <si>
    <t>7328-68</t>
  </si>
  <si>
    <t>Adición y Prórroga al contrato 660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</si>
  <si>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MARIA CAMILA SANCHEZ SAMPER</t>
  </si>
  <si>
    <t>7328-69</t>
  </si>
  <si>
    <t>Adición y Prórroga al contrato 692 de 2017, cuyo objeto es: Prestar los servicios profesionales para apoyar desde el componente social,  la ejecución de actividades asociadas a la estructuración de proyectos del subsidio distrital para el mejoramiento de vivienda.</t>
  </si>
  <si>
    <t>DAVID ARREAZA MORENO</t>
  </si>
  <si>
    <t>7328-70</t>
  </si>
  <si>
    <t>Adición y Prorroga al contrato 663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t>
  </si>
  <si>
    <t>NICOLAS ROSERO PERALTA</t>
  </si>
  <si>
    <t>7328-71</t>
  </si>
  <si>
    <t>Adición y Prórroga al contrato 684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</si>
  <si>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LINA MARIA SAZIPA MORENO </t>
  </si>
  <si>
    <t>7328-72</t>
  </si>
  <si>
    <t>Adición y Prórroga al contrato 689 de 2017, cuyo objeto es: Prestar los servicios para apoyar en el manejo documental,  la ejecución de actividades asociadas a la estructuración de proyectos del subsidio distrital para el mejoramiento de vivienda. </t>
  </si>
  <si>
    <t xml:space="preserve">NINI JOHANNA HERNANDEZ GALINDO </t>
  </si>
  <si>
    <t>7328-73</t>
  </si>
  <si>
    <t>Adición y Prórroga al contrato 677 de 2017, cuyo objeto es: Prestar los servicios profesionales para apoyar desde el componente social,  la ejecución de actividades asociadas a la estructuración de proyectos del subsidio distrital para el mejoramiento de vivienda.</t>
  </si>
  <si>
    <t>NILSA DANIELA HERNANDEZ PEREZ</t>
  </si>
  <si>
    <t>7328-74</t>
  </si>
  <si>
    <t>Adición y Prórroga al contrato 655 de 2017, cuyo objeto es: Prestar los servicios para apoyar desde el componente de sistematización,  la ejecución de actividades asociadas a la estructuración de proyectos del subsidio distrital para el mejoramiento de vivienda.</t>
  </si>
  <si>
    <t>CRISTHIAN CAMILO CARDENAS RAIGOZO</t>
  </si>
  <si>
    <t>7328-75</t>
  </si>
  <si>
    <t>Adición y prórroga al contrato 664 de 2017, cuyo objeto es: Prestar los servicios profesionales para apoyar desde el componente social, la ejecución de actividades asociadas a la estructuración de proyectos del subsidio distrital para el mejoramiento de vivienda.</t>
  </si>
  <si>
    <t>POLITY SEVERO PINEDA DUARTE</t>
  </si>
  <si>
    <t>7328-76</t>
  </si>
  <si>
    <t>Adición y Prórroga al contrato 683 de 2017, cuyo objeto es: Apoyar desde el componente jurídico,  la ejecución de actividades asociadas a la estructuración de proyectos del subsidio distrital para el mejoramiento de vivienda.</t>
  </si>
  <si>
    <t xml:space="preserve">SERGIO DUVAN GOMEZ HERRERA </t>
  </si>
  <si>
    <t>7328-77</t>
  </si>
  <si>
    <t>Adición y Prórroga al contrato 667 de 2017, cuyo objeto es: Prestar los servicios para apoyar en el manejo documental,  la ejecución de actividades asociadas a la estructuración de proyectos del subsidio distrital para el mejoramiento de vivienda. </t>
  </si>
  <si>
    <t xml:space="preserve">MARCO FERNANDO NUÑEZ JIMENEZ </t>
  </si>
  <si>
    <t>7328-78</t>
  </si>
  <si>
    <t>Adición y Prórroga al contrato 687 de 2017, cuyo objeto es: Prestar los servicios para apoyar desde el componente de sistematización,  la ejecución de actividades asociadas a la estructuración de proyectos del subsidio distrital para el mejoramiento de vivienda.</t>
  </si>
  <si>
    <t xml:space="preserve">GIORDY HERNEY CADENA MORENO </t>
  </si>
  <si>
    <t>7328-79</t>
  </si>
  <si>
    <t>Adición y Prórroga al contrato 654 de 2017, cuyo objeto es: Prestar los servicios profesionales para apoyar desde el componente de sistematización,  la ejecución de actividades asociadas a la estructuración de proyectos del subsidio distrital para el mejoramiento de vivienda.</t>
  </si>
  <si>
    <t>MONICA IVONNE ALBA CHAPARRO</t>
  </si>
  <si>
    <t>7328-80</t>
  </si>
  <si>
    <t>Adición y Prórroga al contrato 703 de 2017, cuyo objeto es: Prestar los servicios para apoyar desde el componente de sistematización,  la ejecución de actividades asociadas a la estructuración de proyectos del subsidio distrital para el mejoramiento de vivienda</t>
  </si>
  <si>
    <t>DIEGO FERNANDO CALDAS TRIANA</t>
  </si>
  <si>
    <t>7328-81</t>
  </si>
  <si>
    <t>Adición y Prórroga al contrato 679 de 2017, cuyo objeto es: Prestar los servicios para apoyar desde el componente de sistematización,  la ejecución de actividades asociadas a la estructuración de proyectos del subsidio distrital para el mejoramiento de vivienda.</t>
  </si>
  <si>
    <t>GINNA ROCIO QUITIAN LEGUIZAMO</t>
  </si>
  <si>
    <t>7328-82</t>
  </si>
  <si>
    <t>Adición y Prórroga al contrato 661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</si>
  <si>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RAMIRO EDUARDO PACHON </t>
  </si>
  <si>
    <t>7328-83</t>
  </si>
  <si>
    <t>Prestar los servicios profesionales para apoyar desde el componente jurídico,  la ejecución de actividades asociadas a la estructuración de proyectos del subsidio distrital para el mejoramiento de vivienda.</t>
  </si>
  <si>
    <t>DIANA MARCELA GALVEZ SUAREZ</t>
  </si>
  <si>
    <t>7328-84</t>
  </si>
  <si>
    <t>Adición y Prórroga al contrato 653 de 2017 cuyo objeto es: Prestar los servicios para apoyar en el manejo documental,  la ejecución de actividades asociadas a la estructuración de proyectos del subsidio distrital para el mejoramiento de vivienda. </t>
  </si>
  <si>
    <t>LUIS ORLANDO TORRES  ROMERO</t>
  </si>
  <si>
    <t>7328-85</t>
  </si>
  <si>
    <t>Adición y Prórroga al contrato 675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</si>
  <si>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DIANA PATRICIA CASTAÑEDA CASTAÑEDA</t>
  </si>
  <si>
    <t>7328-86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</si>
  <si>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</si>
  <si>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- 053</t>
  </si>
  <si>
    <t>LINEA 7328 - 004</t>
  </si>
  <si>
    <t>EDGAR GOYENECHE MUÑOZ</t>
  </si>
  <si>
    <t xml:space="preserve">Se crea la presente viabilidad, por solicitud de la dirección de mejoramiento de vivienda, mediante radicado 2018IE286 del 11 de enero de 2018 - Los recursos correspondientes a la misma provienen de la linia original 7328 - 004 </t>
  </si>
  <si>
    <t>7328-87</t>
  </si>
  <si>
    <t>"Contratar los servicios profesionales de un comunicador social que desarrolleinformación periodística de las áreas misionales, para fortalecer los canales de comunicación internos y externos de la entidad, conforme a la Estrategia de Comunicaciones de la Caja de la Vivienda Popular"</t>
  </si>
  <si>
    <t>MV - 054</t>
  </si>
  <si>
    <t>LINEA 7328 - 053</t>
  </si>
  <si>
    <t xml:space="preserve">Se crea la presente viabilidad, por solicitud de la dirección de mejoramiento de vivienda, mediante radicado 2018IE332 del 15 de enero de 2018 - Los recursos correspondientes a la misma provienen de la linia original 7328 - 053, viabilidad que fue anulada por solicitud de la DMV, en el mismo memorando. </t>
  </si>
  <si>
    <t>7328-88</t>
  </si>
  <si>
    <t>"Prestar los servicios profesionales para la planeación, realización y desarrollo de contenidos periodísticos que permitan la difusión y divulgación de la gestión social que adelanta la CVP con las comunidades, a través de sus programas misionales."</t>
  </si>
  <si>
    <t>MV - 055</t>
  </si>
  <si>
    <t>LINEA 7328 - 054</t>
  </si>
  <si>
    <t xml:space="preserve">Se crea la presente viabilidad, por solicitud de la dirección de mejoramiento de vivienda, mediante radicado 2018IE333 del 15 de enero de 2018 - Los recursos correspondientes a la misma provienen de la linia original 7328 - 054, viabilidad que fue anulada por solicitud de la DMV, en el mismo memorando. </t>
  </si>
  <si>
    <t>7328-89</t>
  </si>
  <si>
    <t>Prestación de servicios profesionales relacionados con la elaboración de levantamientos arquitectonicos, planos urbanísticos, arquitectónicos, estructurales, detalles constructivos y respuesta de requerimientos y actas de observación y/o condiciones exigidos por la Curadurías Urbanas solicitados por estas entidades para la expedición de licencias de construcción y/o actos de reconocimiento para los proyectos de familias inscritas en la Dirección de Mejoramiento de Vivienda.</t>
  </si>
  <si>
    <t>MV-058(ANULADA) - MV-059</t>
  </si>
  <si>
    <t>LINEA 7328 - 002</t>
  </si>
  <si>
    <t>JAVIER BENITEZ BARAJAS</t>
  </si>
  <si>
    <t xml:space="preserve">Se crea la presente viabilidad, por solicitud de la dirección de mejoramiento de vivienda, mediante radicado 2018IE365 del 16 de enero de 2018 - Los recursos correspondientes a la misma provienen de la linea 7328 - 02. </t>
  </si>
  <si>
    <t>7328-90</t>
  </si>
  <si>
    <t>Prestar los servicios tecnicos a la Dirección de Mejoramiento de Vivienda, en la proyección de conceptos, revisión de actos administrativos y demás actualizaciones administrativas y jurídicas requeridas, en concordancia con los procesos propios de la Dirección.</t>
  </si>
  <si>
    <t>MV-060</t>
  </si>
  <si>
    <t>LINEA 7328 - 050</t>
  </si>
  <si>
    <t>WILLIAM ALEXANDER GUTIERREZ GUITIERREZ</t>
  </si>
  <si>
    <t>Se crea la presente viabilidad, por solicitud de la dirección de mejoramiento de vivienda, mediante radicado 2018IE647 del 16 de enero de 2018 - Los recursos correspondientes a la misma provienen de la linea 7328 - 50</t>
  </si>
  <si>
    <t>7328-91</t>
  </si>
  <si>
    <t>MV - 061 (Anulada) - MV- 064</t>
  </si>
  <si>
    <t>LINEA 7328 - 002/043/089</t>
  </si>
  <si>
    <t>Pago Pasivos Exigibles</t>
  </si>
  <si>
    <t>7328-92</t>
  </si>
  <si>
    <t>MV - 063</t>
  </si>
  <si>
    <t>Traslado Presupuestal para pago pasivos Exigibles</t>
  </si>
  <si>
    <t>FUN-1</t>
  </si>
  <si>
    <t>Gastos de Funcionamiento</t>
  </si>
  <si>
    <t>Servicios personales indirectos</t>
  </si>
  <si>
    <t>Honorarios</t>
  </si>
  <si>
    <t xml:space="preserve">Honorarios Entidad   </t>
  </si>
  <si>
    <t>Prestar servicios profesionales para apoyar la planeación, seguimiento y evaluación de los subsistemas del Sistema Integrado de Gestión de la Caja de la Vivienda Popular</t>
  </si>
  <si>
    <t>Prestación de servicios profesionales</t>
  </si>
  <si>
    <t>FUN-001</t>
  </si>
  <si>
    <t>04-JAN-18</t>
  </si>
  <si>
    <t>12-JAN-18</t>
  </si>
  <si>
    <t>HECTOR ANDRES MEJIA MEJIA</t>
  </si>
  <si>
    <t>FUN-2</t>
  </si>
  <si>
    <t>Prestar servicios profesionales para apoyar la formulación, seguimiento, evaluación, mantenimiento y mejora del Subsistema de Gestion Ambiental,  acorde a los lineamientos y normatividad vigente.</t>
  </si>
  <si>
    <t>FUN-19</t>
  </si>
  <si>
    <t>10-JAN-18</t>
  </si>
  <si>
    <t>18-JAN-18</t>
  </si>
  <si>
    <t>PHILLIP  KLEIN GARAVITO</t>
  </si>
  <si>
    <t>FUN-3</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</si>
  <si>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asi lo requieran.</t>
  </si>
  <si>
    <t>FUN-003</t>
  </si>
  <si>
    <t>16-JAN-18</t>
  </si>
  <si>
    <t>ALEJANDRO  GUAYARA MURILLO</t>
  </si>
  <si>
    <t>FUN-4</t>
  </si>
  <si>
    <t>Prestar los servicios profesionales especializados para llevar a cabo la representacion judicial y extrajudicial de la Caja de la Vivienda Popular, en materia laboral y laboral administrativa.</t>
  </si>
  <si>
    <t>FUN-004</t>
  </si>
  <si>
    <t>24-JAN-18</t>
  </si>
  <si>
    <t>JUAN MANUEL RUSSY ESCOBAR</t>
  </si>
  <si>
    <t>FUN-5</t>
  </si>
  <si>
    <t>Prestar los servicios profesionales a la Dirección Jurídica para el desarrollo de actividades tales como la elaboración de conceptos jurídicos, seguimiento a los negocios fiduciarios en los cuales hace parte la CVP, y demás actividades propias de la Dirección.</t>
  </si>
  <si>
    <t>FUN-005</t>
  </si>
  <si>
    <t>17-JAN-18</t>
  </si>
  <si>
    <t>YAMILE PATRICIA CASTIBLANCO VENEGAS</t>
  </si>
  <si>
    <t>FUN-6</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</si>
  <si>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</si>
  <si>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FUN-006</t>
  </si>
  <si>
    <t>ESTUDIO ASESORIAS PROFESIONALES S.A.S.</t>
  </si>
  <si>
    <t>FUN-7</t>
  </si>
  <si>
    <t>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t>
  </si>
  <si>
    <t>FUN-007</t>
  </si>
  <si>
    <t>26-JAN-18</t>
  </si>
  <si>
    <t>DAVID ANDRES GIRALDO UMBARILA</t>
  </si>
  <si>
    <t>FUN-8</t>
  </si>
  <si>
    <t>Prestar los servicios profesionales para apoyar a la Subdirección Administrativa con el mantenimiento, actualización e implementación del Subsistema de Seguridad y Salud en el Trabajo y con los Sistemas de Evaluación de los Funcionarios de la Entidad.</t>
  </si>
  <si>
    <t>FUN-008</t>
  </si>
  <si>
    <t>MAYERLI  AZUERO LOZANO</t>
  </si>
  <si>
    <t>FUN-9</t>
  </si>
  <si>
    <t>Prestar los servicios profesionales para brindar apoyo respecto al seguimiento financiero y presupuestal de los contratos a cargo de la Subdirección Administrativa</t>
  </si>
  <si>
    <t>AMALIA JEANNETTE SANCHEZ GUIO</t>
  </si>
  <si>
    <t>FUN-10</t>
  </si>
  <si>
    <t>Prestar los servicios profesionales para brindar apoyo  en temas relacionados con la gestión de calidad de los procesos que lidera la Subdirección.</t>
  </si>
  <si>
    <t>FUN-010</t>
  </si>
  <si>
    <t>GINETH VIVIANA FRANCO PRADA</t>
  </si>
  <si>
    <t>FUN-11</t>
  </si>
  <si>
    <t>Prestación de servicios profesionales para el acompañamiento de las diferentes etapas de los procesos contractuales y la revisión jurídica de los temas a cargo de la Subdirección Administrativa.</t>
  </si>
  <si>
    <t>FUN-011</t>
  </si>
  <si>
    <t>IVAN DARIO GOMEZ HENAO</t>
  </si>
  <si>
    <t>FUN-12</t>
  </si>
  <si>
    <t>Prestar los servicios profesionales para llevar a cabo las actividades del Plan Anual de Adquisiciones a través de procesos de contratación y realizar la revisión de carácter jurídico en los temas inherentes a la Subdirección Administrativa.</t>
  </si>
  <si>
    <t>FUN-012</t>
  </si>
  <si>
    <t>HAMILTON  DIAZ GARCIA</t>
  </si>
  <si>
    <t>FUN-13</t>
  </si>
  <si>
    <t>Prestación de servicios profesionales para realizar el monitoreo, acompañamiento y mejora continua desde el punto de vista jurídico, al proceso de adquisición de bienes y servicios a cargo de la Dirección de Gestión Corporativa y CID.</t>
  </si>
  <si>
    <t>FUN-013</t>
  </si>
  <si>
    <t>25-JAN-18</t>
  </si>
  <si>
    <t>ELITE CONSULTORA  S A S</t>
  </si>
  <si>
    <t>FUN-14</t>
  </si>
  <si>
    <t>Prestación de servicios profesionales para brindar asesoria juridica y acompañamiento externo en la gestion contractual y demás trámites administrativos que sean requeridos</t>
  </si>
  <si>
    <t>FUN-014</t>
  </si>
  <si>
    <t>FUN-15</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</si>
  <si>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</si>
  <si>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FUN-015</t>
  </si>
  <si>
    <t>LUIS DARIO SOTELO CARREÑO</t>
  </si>
  <si>
    <t>FUN-16</t>
  </si>
  <si>
    <t>22-JAN-18</t>
  </si>
  <si>
    <t>MANUEL LEONARDO TELLEZ BELTRAN</t>
  </si>
  <si>
    <t>FUN-17</t>
  </si>
  <si>
    <t>Prestación de servicios profesionales para realizar el acompañamiento en el cumplimiento de los lineamientos relacionados con la atención y prestación del servicio a la ciudadanía, a cargo de la Caja de la Vivienda Popular</t>
  </si>
  <si>
    <t>FUN-017</t>
  </si>
  <si>
    <t>03-JAN-18</t>
  </si>
  <si>
    <t>ROBERTO CARLOS NARVAEZ CORTES</t>
  </si>
  <si>
    <t>FUN-18</t>
  </si>
  <si>
    <t>Prestación de servicios profesionales para apoyar a la Oficina Asesora de Planeación en actividades de gestión y administración del Sistema Integrado de Gestión.</t>
  </si>
  <si>
    <t>FUN-018</t>
  </si>
  <si>
    <t>CRISTHIAN CAMILO RODRIGUEZ MELO</t>
  </si>
  <si>
    <t>ANDRES JOSE PAJON SAMPER</t>
  </si>
  <si>
    <t>FUN-20</t>
  </si>
  <si>
    <t>Prestación de servicios profesionales para apoyar la  formulación, seguimiento,  ejecución y programación presupuestal de la Caja de la Vivienda Popular.</t>
  </si>
  <si>
    <t>FUN-020</t>
  </si>
  <si>
    <t>DORIS  CARVAJAL MOJICA</t>
  </si>
  <si>
    <t>FUN-21</t>
  </si>
  <si>
    <t>Prestación de servicios profesionales para registrar, depurar, analizar y ajustar la información contable de la Caja de la Vivienda Popular, encumplimiento a la normatividad, los procedimientos y lineamientos establecidos por la entidad</t>
  </si>
  <si>
    <t>FUN-021</t>
  </si>
  <si>
    <t>SANDRA YAMILE ROJAS RICO</t>
  </si>
  <si>
    <t>FUN-22</t>
  </si>
  <si>
    <t>Prestación de servicios profesionales para apoyar a la Subdirección Financiera en la estructuración, revisión y evaluación del componente financiero y de documentos de análisis del sector que se requieran en los diferentes procesos de contratación.</t>
  </si>
  <si>
    <t>FUN-022</t>
  </si>
  <si>
    <t>JOSE LEONARDO PINTO COLORADO</t>
  </si>
  <si>
    <t>FUN-23</t>
  </si>
  <si>
    <t>Prestación de servicios profesionales para apoyar a la Subdirección Financiera  de la CVP, en las actividades relacionadas con el proceso de órdenes de pago a cargo de la Entidad.</t>
  </si>
  <si>
    <t>FUN-023 (AN)</t>
  </si>
  <si>
    <t>FUN-24</t>
  </si>
  <si>
    <t>Prestación de servicios profesionales para analizar, registrar, consolidar y presentar la información contable y tributaria de la Caja de la Vivienda Popular.</t>
  </si>
  <si>
    <t>FUN-024</t>
  </si>
  <si>
    <t>RUTH YEIMMY CIPRIAN HUERTAS</t>
  </si>
  <si>
    <t>FUN-25</t>
  </si>
  <si>
    <t>Remuneración Servicios Técnicos</t>
  </si>
  <si>
    <t xml:space="preserve">
Prestar los servicios de apoyo a la gestión a la Dirección Jurídica en lo relacionado con el archivo, seguimiento y control de los procesos judiciales y extrajudiciales en los que hace parte la Caja de la Vivienda Popular.</t>
  </si>
  <si>
    <t>FUN-025</t>
  </si>
  <si>
    <t>WALTER ARLEY RINCON QUINTERO</t>
  </si>
  <si>
    <t>FUN-26</t>
  </si>
  <si>
    <t>Prestación de servicios de apoyo a la gestión para realizar ela compañamiento técnico en los temas relacionados con el proceso de Gestión Documental a cargo de la Subdirección Administrativa.</t>
  </si>
  <si>
    <t>FUN-026</t>
  </si>
  <si>
    <t>ARNULFO  MACIAS MUÑOZ</t>
  </si>
  <si>
    <t>FUN-27</t>
  </si>
  <si>
    <t>Prestación de servicios de apoyo a la gestión en las actividades operativas requeridas en el proceso de Gestión Documental a cargo de la Subdirección Administrativa.</t>
  </si>
  <si>
    <t>FUN-027</t>
  </si>
  <si>
    <t>CARLOS EDUARDO GARCIA AVILAN</t>
  </si>
  <si>
    <t>FUN-28</t>
  </si>
  <si>
    <t>Prestación de servicios de apoyo a la gestión para realizar el acompañamiento técnico en los temas relacionados con el proceso de Gestión Documental a cargo de la Subdirección Administrativa.</t>
  </si>
  <si>
    <t>FUN-028</t>
  </si>
  <si>
    <t>LUZ MERY PEDRAZA PEDRAZA</t>
  </si>
  <si>
    <t>FUN-29</t>
  </si>
  <si>
    <t>Prestación de servicios para apoyar las actividades operativas requeridas en la organización y consulta de los archivos de gestión de la Caja de la Vivienda Popular</t>
  </si>
  <si>
    <t>FUN-029</t>
  </si>
  <si>
    <t>NELLY  NOVA PINZON</t>
  </si>
  <si>
    <t>FUN-30</t>
  </si>
  <si>
    <t>Prestación de servicios para apoyar a la Subdirección Financiera en el desarrollo de las actividades propias de su gestión, en especial las relacionadas con tesorería, de acuerdo con las normas vigentes, los procedimientos y los lineamientos internos de la CVP</t>
  </si>
  <si>
    <t>FUN-030</t>
  </si>
  <si>
    <t>LEYDY YOJANA FLOREZ SOLANO</t>
  </si>
  <si>
    <t>FUN-31</t>
  </si>
  <si>
    <t>FUN-031</t>
  </si>
  <si>
    <t>DAVID FELIPE CASTAÑEDA RUBIO</t>
  </si>
  <si>
    <t>FUN-32</t>
  </si>
  <si>
    <t>Prestación de servicios de apoyo a la gestión en las actividades administrativas y operativas relacionadas con los procesos a cargo de la Dirección de Gestión Corporativa y CID, especificamente en el de adquisición de bienes y servicios.</t>
  </si>
  <si>
    <t>FUN-032</t>
  </si>
  <si>
    <t>FUN-33</t>
  </si>
  <si>
    <t xml:space="preserve">Prestación de servicios de apoyo a la gestión en actividades relacionadas con el proceso financiero, que permitan el pago opotuno de los compromisos adquiridos por la Caja de la Vivienda Popular con terceros. </t>
  </si>
  <si>
    <t>FUN-033</t>
  </si>
  <si>
    <t>ANDRES FELIPE CELY LUQUE</t>
  </si>
  <si>
    <t>FUN-34</t>
  </si>
  <si>
    <t>Prestar los servicios de apoyo para el trámite, seguimiento y control de las PQRS y realizar la gestión documental de la Subdirección Financiera, aplicando los lineamientos y normatividad vigentes.</t>
  </si>
  <si>
    <t>FUN-034</t>
  </si>
  <si>
    <t>ELIZABETH  CARRILLO MEDINA</t>
  </si>
  <si>
    <t>FUN-35</t>
  </si>
  <si>
    <t>FUN-035</t>
  </si>
  <si>
    <t>NELLY MARIA GUZMAN NEUTA</t>
  </si>
  <si>
    <t>FUN-36</t>
  </si>
  <si>
    <t>FUN-036</t>
  </si>
  <si>
    <t>DIANA SOFIA MELO CASTRO</t>
  </si>
  <si>
    <t>FUN-37</t>
  </si>
  <si>
    <t>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t>
  </si>
  <si>
    <t>FUN-037</t>
  </si>
  <si>
    <t>DIEGO ALEXANDER ROMERO PORRAS</t>
  </si>
  <si>
    <t>FUN-38</t>
  </si>
  <si>
    <t>Prestación de servicios para apoyar las actividades de administración y control de las bases de datos y de los sistemas de información utilizados por la Dirección de Gestión Corporativa y CID en el proceso de adquisición de bienes y servicios.</t>
  </si>
  <si>
    <t>FUN-038</t>
  </si>
  <si>
    <t>ANDREA VANESSA JAIMES CARDENAS</t>
  </si>
  <si>
    <t>FUN-39</t>
  </si>
  <si>
    <t>FUN-039</t>
  </si>
  <si>
    <t>LAURA VANESA MARTINEZ PEÑA</t>
  </si>
  <si>
    <t>FUN-40</t>
  </si>
  <si>
    <t>FUN-040</t>
  </si>
  <si>
    <t>MARTHA CECILIA PERDOMO ORTIZ</t>
  </si>
  <si>
    <t>FUN-41</t>
  </si>
  <si>
    <t>FUN-041</t>
  </si>
  <si>
    <t>MARIA LUISA VILLARREAL HERNANDEZ</t>
  </si>
  <si>
    <t>FUN-42</t>
  </si>
  <si>
    <t>Prestación de servicios de apoyo a la gestión en la Dirección de Gestión Corporativa y CID, para apoyar operativamente las actividades realacionadas con la aplicación de los instrumentos archivísticos de la entidad.</t>
  </si>
  <si>
    <t>FUN-042</t>
  </si>
  <si>
    <t>MARIA ANGELICA AMEZQUITA GUZMAN</t>
  </si>
  <si>
    <t>FUN-43</t>
  </si>
  <si>
    <t>Prestación de servicios de apoyo a la gestión para el adelantamiento de actividades administrativas y operativas relacionadas con los procesos a cargo de la Dirección de Gestión Corporativa y CID</t>
  </si>
  <si>
    <t>11-JAN-18</t>
  </si>
  <si>
    <t>JESSICA VIVIAN JIMENEZ BERNAL</t>
  </si>
  <si>
    <t>FUN-44</t>
  </si>
  <si>
    <t>Prestación de servicios de apoyo a la gestion en las actividades relacionadas con el análisis y depuración de la cartera de la Entidad que se encuentran a cargo de la Subdireccion Financiera.</t>
  </si>
  <si>
    <t>FUN-044</t>
  </si>
  <si>
    <t>JEIMY KATHERINE BERNAL GARCIA</t>
  </si>
  <si>
    <t>FUN-45</t>
  </si>
  <si>
    <t>Gastos Generales</t>
  </si>
  <si>
    <t>Adquisición de sevicios</t>
  </si>
  <si>
    <t>Energia</t>
  </si>
  <si>
    <t>Pago de servicio de energia</t>
  </si>
  <si>
    <t>No requiere modalidad de contratacion</t>
  </si>
  <si>
    <t>NA</t>
  </si>
  <si>
    <t>SIN</t>
  </si>
  <si>
    <t>CODENSA S. A. ESP</t>
  </si>
  <si>
    <t>FUN-46</t>
  </si>
  <si>
    <t>Acueducto</t>
  </si>
  <si>
    <t>Pago de servicio de acueducto</t>
  </si>
  <si>
    <t>FUN-47</t>
  </si>
  <si>
    <t>Aseo</t>
  </si>
  <si>
    <t>Pago de servicio de aseo</t>
  </si>
  <si>
    <t>FUN-48</t>
  </si>
  <si>
    <t>Telefono</t>
  </si>
  <si>
    <t>Pago de servicio de telefono</t>
  </si>
  <si>
    <t>EMPRESA DE TELECOMUNICACIONES DE BOGOTA SA ESP</t>
  </si>
  <si>
    <t>FUN-49</t>
  </si>
  <si>
    <t>Capacitación Interna</t>
  </si>
  <si>
    <t>Proceso en curso para la Prestación de servicios para la implementación del plan institucional de capacitación de la CVP a través de diplomados, talleres, conferencia, cursos, en procura del fortalecimiento institucional</t>
  </si>
  <si>
    <t>FUN-50</t>
  </si>
  <si>
    <t>n/a</t>
  </si>
  <si>
    <t>Congreso colombiano de derecho procesal</t>
  </si>
  <si>
    <t>FUN-51</t>
  </si>
  <si>
    <t>Bienestar e incentivos</t>
  </si>
  <si>
    <t>Pago auxilio de estudio según convencion colectiva de trabajadores de noviembre 29 de 1990 clausula 10</t>
  </si>
  <si>
    <t>FUN-060</t>
  </si>
  <si>
    <t>FUN-52</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</si>
  <si>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</si>
  <si>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T2,346,902 A LINEA 95</t>
  </si>
  <si>
    <t>T2,346,902 A LINEA 95   OF. 3948       Of. 5460</t>
  </si>
  <si>
    <t>FUN-53</t>
  </si>
  <si>
    <t>Adquisición de bienes</t>
  </si>
  <si>
    <t>Dotacion</t>
  </si>
  <si>
    <t>53100000
53110000</t>
  </si>
  <si>
    <t>Suministro</t>
  </si>
  <si>
    <t>FUN-064</t>
  </si>
  <si>
    <t>Mod. Fecha of. 762 - Mod. Objeto: Febrero 22</t>
  </si>
  <si>
    <t>FUN-54</t>
  </si>
  <si>
    <t>Salud Ocupacional</t>
  </si>
  <si>
    <t>Contratar los servicios en salud ocupacional en especial lo relacionado con los exámenes médicos ocupacionales, de pre-ingreso, por cambio de ocupación, post-incapacidad y de egreso para la Caja de la Vivienda Popular.</t>
  </si>
  <si>
    <t xml:space="preserve">Prestación de servicios </t>
  </si>
  <si>
    <t>Minima Cuantia</t>
  </si>
  <si>
    <t>FUN-079</t>
  </si>
  <si>
    <t>7000000 A LINEA 96      2954210 A LINEA 97</t>
  </si>
  <si>
    <t>MEM 4959           OF.6236</t>
  </si>
  <si>
    <t>FUN-55</t>
  </si>
  <si>
    <t>Contratar la adquisición de elementos de protección personal requeridos para el personal de la Caja de la Vivienda Popular de conformidad con las especificaciones técnicas establecidas por la Entidad</t>
  </si>
  <si>
    <t>2000000 A LINEA 97       9000000 A LINEA 98</t>
  </si>
  <si>
    <t>MEM 4959</t>
  </si>
  <si>
    <t>FUN-56</t>
  </si>
  <si>
    <t>Contratar la adquisición para la dotación de los botiquines y elementos de la brigada, que sirvan como insumo para brindar una respuesta oportuna ante cualquier emergencia.</t>
  </si>
  <si>
    <t>9149790 A LINEA 98</t>
  </si>
  <si>
    <t>FUN-57</t>
  </si>
  <si>
    <t>Gastos de Computador</t>
  </si>
  <si>
    <t>Adición al contrato 587 de 2017 cuyo objeto es "Suministro de tonner, cintas y demás elementos requeridos para equipos de impresión de la Caja de la Vivienda Popular."</t>
  </si>
  <si>
    <t>FUN-065</t>
  </si>
  <si>
    <t>Mod. Objeto: Of. 2740 Feb. 27  $10,66`Reduc. Pptal Circ. 2/2018</t>
  </si>
  <si>
    <t>FUN-58</t>
  </si>
  <si>
    <t>Combustibles, lubricantes y llantas</t>
  </si>
  <si>
    <t>Contratar el suministro de combustible para los vehículos de propiedad de la CVP</t>
  </si>
  <si>
    <t>$9,9`Reduc. Pptal Circ. 2/2018</t>
  </si>
  <si>
    <t>FUN-59</t>
  </si>
  <si>
    <t>Materiales y Suministros</t>
  </si>
  <si>
    <t>FUN-60</t>
  </si>
  <si>
    <t>CONSTITUCIÓN CAJA MENOR DE LA CAJA DE LA VIVIENDA POPULAR PARA LA VIGENCIA 2018</t>
  </si>
  <si>
    <t>no requiere modalidad de contratacion</t>
  </si>
  <si>
    <t>FUN-052</t>
  </si>
  <si>
    <t>19-JAN-18</t>
  </si>
  <si>
    <t>FUN-61</t>
  </si>
  <si>
    <t>Seguros Entidad</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</si>
  <si>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</si>
  <si>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Licitación pública</t>
  </si>
  <si>
    <t>FUN-62</t>
  </si>
  <si>
    <t>Gastos de Transporte y Comunicación</t>
  </si>
  <si>
    <t>FUN-077</t>
  </si>
  <si>
    <t>Cambio objeto y modalidad</t>
  </si>
  <si>
    <t>FUN-63</t>
  </si>
  <si>
    <t>Adición al contrato de canal alterno de la CVP</t>
  </si>
  <si>
    <t>747,185 A LINEA    OF. 2240      $22``Reduc. Pptal Circ. 2/2018</t>
  </si>
  <si>
    <t>FUN-64</t>
  </si>
  <si>
    <t xml:space="preserve">SERVICIO DE CELULAR </t>
  </si>
  <si>
    <t>Selección abreviada de menor cuantia</t>
  </si>
  <si>
    <t>FUN-051</t>
  </si>
  <si>
    <t>COLOMBIA TELECOMUNICACIONES S A E S P</t>
  </si>
  <si>
    <t>FUN-65</t>
  </si>
  <si>
    <t>FUN-053</t>
  </si>
  <si>
    <t>$4,5 a línea `93. Oficio.  de marzo 15</t>
  </si>
  <si>
    <t>FUN-66</t>
  </si>
  <si>
    <t>Buzones de correo</t>
  </si>
  <si>
    <t>$15`Reduc. Pptal Circ. 2/2018</t>
  </si>
  <si>
    <t>FUN-67</t>
  </si>
  <si>
    <t>Cable</t>
  </si>
  <si>
    <t>$1.1 Reduc. Pptal Circ. 2/2018</t>
  </si>
  <si>
    <t>FUN-68</t>
  </si>
  <si>
    <t>Transporte de residuos</t>
  </si>
  <si>
    <t>FUN-69</t>
  </si>
  <si>
    <t>Impresos y publicaciones</t>
  </si>
  <si>
    <t>FUN-054</t>
  </si>
  <si>
    <t>FUN-70</t>
  </si>
  <si>
    <t>FUN-075</t>
  </si>
  <si>
    <t>$20``Reduc. Pptal Circ. 2/2018  Mod. Objeto: Of: 5174</t>
  </si>
  <si>
    <t>Objeto definitivo</t>
  </si>
  <si>
    <t>FUN-71</t>
  </si>
  <si>
    <t>Adquirir la suscripción y acceso a una publicación en línea o en página web y en medio impreso, que suministre información jurídica integral a los funcionarios o usuarios definidos por la Caja de la Vivienda Popular.</t>
  </si>
  <si>
    <t>FUN-72</t>
  </si>
  <si>
    <t>Contratar la suscripción al diario y revista PORTAFOLIO para la Caja de Vivienda Popular.</t>
  </si>
  <si>
    <t>Mod. Fecha of. 762  $0,3`Reduc. Pptal Circ. 2/2018</t>
  </si>
  <si>
    <t>FUN-73</t>
  </si>
  <si>
    <t>Mantenimiento Entidad</t>
  </si>
  <si>
    <t>Prestación del servicio integral de aseo y cafetería para la Caja de la Vivienda Popular</t>
  </si>
  <si>
    <t xml:space="preserve">Contrato de prestación de servicios </t>
  </si>
  <si>
    <t>$61,4´a línea 75</t>
  </si>
  <si>
    <t>OF. 2225  FEB. 16    $9,95`Reduc. Pptal Circ. 2/2018         $61,4´a linea 75 con of. 5306</t>
  </si>
  <si>
    <t>Reducción</t>
  </si>
  <si>
    <t>Traslado de recursos</t>
  </si>
  <si>
    <t>FUN-74</t>
  </si>
  <si>
    <t>Contratar el lavado y mantenimiento de vehiculo de propiedad de la CVP</t>
  </si>
  <si>
    <t>1105/2018</t>
  </si>
  <si>
    <t>Mod. Fecha of. 762    $4`Reduc. Pptal Circ. 2/2018</t>
  </si>
  <si>
    <t>FUN-75</t>
  </si>
  <si>
    <t>FUN-078</t>
  </si>
  <si>
    <t>$61,4´ de línea 75</t>
  </si>
  <si>
    <t>$95,7`trasladados a linea 92. Of. 3772 de marzo 15           $61,4´ de linea 75 con of. 5306</t>
  </si>
  <si>
    <t>Adicción</t>
  </si>
  <si>
    <t>Traslado de recursos para apertura de licitación</t>
  </si>
  <si>
    <t>FUN-76</t>
  </si>
  <si>
    <t>ADQUISICION DE ELEMENTOS DE FERRETERIA PARA LA CAJA DE LA VIVIENDA POPULAR</t>
  </si>
  <si>
    <t>FUN-059</t>
  </si>
  <si>
    <t>FUN-77</t>
  </si>
  <si>
    <t>Proceso en curso prestación del servicio de mantenimiento preventivo y correctivo del sistema de bombeo con el cual cuenta la Caja de Vivienda Popular.</t>
  </si>
  <si>
    <t>FUN-78</t>
  </si>
  <si>
    <t>CONTRATAR LA PRESTACIÓN DEL SERVICIO DE MANTENIMIENTO PREVENTIVO Y CORRECTIVO CON SUMINISTRO DE REPUESTOS PARA EL ELEVADOR DE LA CAJA DE LA VIVIENDA POPULAR</t>
  </si>
  <si>
    <t>Selección abreviada para la adquisición de bienes y servicio de características técnicas uniformes por compra por catálogo derivado de la celebración de acuerdos marco de precios</t>
  </si>
  <si>
    <t>FUN-79</t>
  </si>
  <si>
    <t>Prestar el servicio de mantenimiento (revisión y recarga) de los extintores de la entidad.</t>
  </si>
  <si>
    <t>FUN-80</t>
  </si>
  <si>
    <t>FUN-055</t>
  </si>
  <si>
    <t>FUN-81</t>
  </si>
  <si>
    <t>Impuestos, tasas, contribuciones y multas</t>
  </si>
  <si>
    <t>FUN-056</t>
  </si>
  <si>
    <t>FUN-82</t>
  </si>
  <si>
    <t>Viaticos y gastos de viaje</t>
  </si>
  <si>
    <t>Para pago de Víaticos y Gastos de Viaje del Director General</t>
  </si>
  <si>
    <t>FUN-83</t>
  </si>
  <si>
    <t>FUN-050</t>
  </si>
  <si>
    <t xml:space="preserve">RECURSOS  DE LINEA 63   </t>
  </si>
  <si>
    <t>FUN-84</t>
  </si>
  <si>
    <t>FUN-057</t>
  </si>
  <si>
    <t>RECURSOS  DE LINEA 63</t>
  </si>
  <si>
    <t>FUN-85</t>
  </si>
  <si>
    <t>Pago de internet de la Caja de la Vivienda Popular</t>
  </si>
  <si>
    <t>FUN-062</t>
  </si>
  <si>
    <t>FUN-86</t>
  </si>
  <si>
    <t>FUN-063</t>
  </si>
  <si>
    <t>RECURSOS  DE LINEA 62</t>
  </si>
  <si>
    <t>FUN-87</t>
  </si>
  <si>
    <t>Reducción Presupuestal según circular 002 de 2018</t>
  </si>
  <si>
    <t>FUN-066</t>
  </si>
  <si>
    <t>Reduc. Pptal Circ. 2/2018</t>
  </si>
  <si>
    <t>FUN-88</t>
  </si>
  <si>
    <t>FUN-067</t>
  </si>
  <si>
    <t>FUN-89</t>
  </si>
  <si>
    <t>FUN-068</t>
  </si>
  <si>
    <t>FUN-90</t>
  </si>
  <si>
    <t>FUN-069</t>
  </si>
  <si>
    <t>FUN-91</t>
  </si>
  <si>
    <t>Reducción Presupuestal según circular 002 de 2019</t>
  </si>
  <si>
    <t>FUN-070</t>
  </si>
  <si>
    <t>FUN-92</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</si>
  <si>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</si>
  <si>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FUN-071</t>
  </si>
  <si>
    <t>Recursos de línea 75. Of. 3772 de marzo 15</t>
  </si>
  <si>
    <t>FUN-93</t>
  </si>
  <si>
    <t>REEMPLAZO DEL CDP 549 DE 2018 PARA LA CONSTITUCIÓN CAJA MENOR DE LA CAJA DE LA VIVIENDA POPULAR PARA LA VIGENCIA 2018</t>
  </si>
  <si>
    <t>FUN-072</t>
  </si>
  <si>
    <t>Recursos de línea 65. Oficio.  de marzo 15</t>
  </si>
  <si>
    <t>FUN-94</t>
  </si>
  <si>
    <t>FUN-073</t>
  </si>
  <si>
    <t xml:space="preserve">$748900 DE LINEA 94 </t>
  </si>
  <si>
    <t xml:space="preserve"> $748900 DE LINEA 62 CON OF. 3902</t>
  </si>
  <si>
    <t>FUN-95</t>
  </si>
  <si>
    <t>Pago auxilio funerario de acuerdo a la cláusula novena, capítulo III de la Convención Colectiva de Trabajo firmada entre LA CAJA DE LA VIVIENDA POPULAR y el SINDICATO DE TRABAJADORES, del veintinueve (29) de noviembre de mil novecientos noventa (1990), “… En caso de fallecimiento de alguno de los padres del trabajador, LA CAJA DE LA VIVIENDA POPULAR, reconocerá y pagará un auxilio funerario equivalente a un salario mínimo convencional, el cual se dará directamente al trabajador.”</t>
  </si>
  <si>
    <t>FUN-074</t>
  </si>
  <si>
    <t>RECURSOS DE A LINEA 52</t>
  </si>
  <si>
    <t>REC. DE LINEA 52   OF. 3948</t>
  </si>
  <si>
    <t>FUN-96</t>
  </si>
  <si>
    <t>Contratar La adquisición de un desfibrilador externo automático que permita la aplicación de descargas eléctricas para lograr el restablecimiento del ritmo cardiaco normal en caso de requerirse</t>
  </si>
  <si>
    <t xml:space="preserve">7000000 de LINEA 54     </t>
  </si>
  <si>
    <t>FUN-97</t>
  </si>
  <si>
    <t xml:space="preserve">Adquirir detectores de humo, que permita a la CVP estar preparada en caso de incendio </t>
  </si>
  <si>
    <t>recursos de lineas 54, 55 y 56</t>
  </si>
  <si>
    <t>FUN-98</t>
  </si>
  <si>
    <t xml:space="preserve">Contratar la realización del diagnóstico (identificación y evaluación) de los factores de riesgo psicosocial presentes en la Caja de la Vivienda Popular </t>
  </si>
  <si>
    <t>9149790 de LINEA 55</t>
  </si>
  <si>
    <t>FUN-99</t>
  </si>
  <si>
    <t>FUN-076</t>
  </si>
  <si>
    <t xml:space="preserve">   $6´de LINEA 99</t>
  </si>
  <si>
    <t xml:space="preserve">   Recursos de L. 62 (OF. 5254)</t>
  </si>
  <si>
    <r>
      <t xml:space="preserve">FOR-042     </t>
    </r>
    <r>
      <rPr>
        <b/>
        <sz val="10"/>
        <color rgb="FFFF0000"/>
        <rFont val="Arial"/>
        <family val="2"/>
      </rPr>
      <t>FOR-025 (anul)</t>
    </r>
  </si>
  <si>
    <r>
      <t xml:space="preserve">
FUN-046         </t>
    </r>
    <r>
      <rPr>
        <b/>
        <sz val="10"/>
        <color rgb="FFFF0000"/>
        <rFont val="Arial"/>
        <family val="2"/>
      </rPr>
      <t xml:space="preserve"> FUN-009  ANULADA</t>
    </r>
  </si>
  <si>
    <r>
      <t xml:space="preserve">
FUN-045           </t>
    </r>
    <r>
      <rPr>
        <b/>
        <sz val="10"/>
        <color rgb="FFFF0000"/>
        <rFont val="Arial"/>
        <family val="2"/>
      </rPr>
      <t xml:space="preserve"> FUN-002   ANULADA</t>
    </r>
  </si>
  <si>
    <r>
      <rPr>
        <b/>
        <sz val="10"/>
        <rFont val="Arial"/>
        <family val="2"/>
      </rPr>
      <t xml:space="preserve">FUN-048  </t>
    </r>
    <r>
      <rPr>
        <b/>
        <sz val="10"/>
        <color rgb="FFFF0000"/>
        <rFont val="Arial"/>
        <family val="2"/>
      </rPr>
      <t xml:space="preserve">     FUN-016 (AN)</t>
    </r>
  </si>
  <si>
    <r>
      <rPr>
        <b/>
        <sz val="10"/>
        <rFont val="Arial"/>
        <family val="2"/>
      </rPr>
      <t xml:space="preserve">FUN-049  </t>
    </r>
    <r>
      <rPr>
        <b/>
        <sz val="10"/>
        <color rgb="FFFF0000"/>
        <rFont val="Arial"/>
        <family val="2"/>
      </rPr>
      <t xml:space="preserve">     FUN-019 (Anulada)</t>
    </r>
  </si>
  <si>
    <r>
      <rPr>
        <b/>
        <sz val="10"/>
        <rFont val="Arial"/>
        <family val="2"/>
      </rPr>
      <t xml:space="preserve">FUN-047    </t>
    </r>
    <r>
      <rPr>
        <b/>
        <sz val="10"/>
        <color rgb="FFFF0000"/>
        <rFont val="Arial"/>
        <family val="2"/>
      </rPr>
      <t xml:space="preserve">     FUN-043 (Anulada)</t>
    </r>
  </si>
  <si>
    <r>
      <t xml:space="preserve">FUN-061         </t>
    </r>
    <r>
      <rPr>
        <b/>
        <sz val="10"/>
        <color rgb="FFFF0000"/>
        <rFont val="Arial"/>
        <family val="2"/>
      </rPr>
      <t>FUN-058  (anulado)</t>
    </r>
  </si>
  <si>
    <t>Versión: 8</t>
  </si>
  <si>
    <t>Vigente desde:  02/10/2017</t>
  </si>
  <si>
    <r>
      <rPr>
        <b/>
        <sz val="12"/>
        <rFont val="Arial"/>
        <family val="2"/>
      </rPr>
      <t>SEGUIMIENTO PLAN DE CONTRATACIÓN</t>
    </r>
    <r>
      <rPr>
        <b/>
        <sz val="9"/>
        <rFont val="Arial Narrow"/>
        <family val="2"/>
      </rPr>
      <t xml:space="preserve">
VIGENCIA 2018</t>
    </r>
  </si>
  <si>
    <t xml:space="preserve"> - </t>
  </si>
  <si>
    <t>Prestación de servicios profesionales para acompañar a la Dirección de Gestión Corporativa y CID en el seguimiento y monitoreo de las diferentes herramientas del Sistema Integrado de Gestión de los procesos que se encuentran a su cargo.</t>
  </si>
  <si>
    <t>ADRIANA  DURAN CABRA</t>
  </si>
  <si>
    <r>
      <t xml:space="preserve">FOR-045       </t>
    </r>
    <r>
      <rPr>
        <b/>
        <sz val="10"/>
        <color rgb="FFFF0000"/>
        <rFont val="Arial"/>
        <family val="2"/>
      </rPr>
      <t>FOR-001 (anul)</t>
    </r>
  </si>
  <si>
    <t>JOAN MANUELWILHAYNER GAITAN FERRER</t>
  </si>
  <si>
    <t>SONIA MILENA GIL MONTOYA</t>
  </si>
  <si>
    <t>CLAUDIA MARCELA GARCIA</t>
  </si>
  <si>
    <t>RAUL ALEJANDRO MESA VARGAS</t>
  </si>
  <si>
    <t>JEFFERSON  MALAVER GOMEZ</t>
  </si>
  <si>
    <t>CAROLINA  MONTOYA DUQUE</t>
  </si>
  <si>
    <t>CLAUDIA YANET D ANTONIO ADAME</t>
  </si>
  <si>
    <t>JONNATHAN ANDRES LARA HERRERA</t>
  </si>
  <si>
    <t>GILBERTO ANTONIO SUAREZ FAJARDO</t>
  </si>
  <si>
    <t>NICOLAS ANDRES GUZMAN PADILLA</t>
  </si>
  <si>
    <t>NATACHA  ESLAVA VELEZ</t>
  </si>
  <si>
    <t>SANDRA MILENA HERNANDEZ CUBILLOS</t>
  </si>
  <si>
    <t>JIMMY ALEXANDER MONTAÑO DUQUE</t>
  </si>
  <si>
    <t>JHON FREDY CASTELLANOS TORO</t>
  </si>
  <si>
    <t>RAFAEL  PINILLA CUEVA</t>
  </si>
  <si>
    <t>BIBIANA ANDREA TRUJILLO SANCHEZ</t>
  </si>
  <si>
    <t>MARIA ELIZABETH SALINAS BUSTOS</t>
  </si>
  <si>
    <t>MAGDA CECILIA ALBA DAZA</t>
  </si>
  <si>
    <t>RAFAEL  OSORIO CANTILLO</t>
  </si>
  <si>
    <t>CARLOS IVAN MUÑOZ ARIAS</t>
  </si>
  <si>
    <t>ANGELA ROCIO DIAZ MORALES</t>
  </si>
  <si>
    <t>NELSON MIGUEL JAIME OLAYA</t>
  </si>
  <si>
    <t>ORLANDO  BARBOSA SILVA</t>
  </si>
  <si>
    <t>MARITH ELISA BLANCHAR MARTINEZ</t>
  </si>
  <si>
    <t>LAURA JIMENA RINCON ROMERO</t>
  </si>
  <si>
    <r>
      <t xml:space="preserve">FOR-036     </t>
    </r>
    <r>
      <rPr>
        <b/>
        <sz val="10"/>
        <color rgb="FFFF0000"/>
        <rFont val="Arial"/>
        <family val="2"/>
      </rPr>
      <t>FOR-027 (Anul)</t>
    </r>
  </si>
  <si>
    <t>KENNY BIVIANA ROJAS AMUD</t>
  </si>
  <si>
    <t>YUDY MARIETH VELEZ CALDERON</t>
  </si>
  <si>
    <t>SILENIA  NEIRA TORRES</t>
  </si>
  <si>
    <t>RODRIGO HERNAN RIOS OLIVEROS</t>
  </si>
  <si>
    <t>DARRYN  CALDERON TRUJILLO</t>
  </si>
  <si>
    <r>
      <t xml:space="preserve">FOR-037      </t>
    </r>
    <r>
      <rPr>
        <b/>
        <sz val="10"/>
        <color rgb="FFFF0000"/>
        <rFont val="Arial"/>
        <family val="2"/>
      </rPr>
      <t>FOR-032 (Anul)</t>
    </r>
  </si>
  <si>
    <t>JULIETH TATIANA SANCHEZ CASTILLO</t>
  </si>
  <si>
    <t>GERMAN ALEXANDER SANCHEZ RODRIGUEZ</t>
  </si>
  <si>
    <t>JORGE ENRIQUE DURAN HERRERA</t>
  </si>
  <si>
    <t>SGS COLOMBIA S.A.S</t>
  </si>
  <si>
    <t>Prestar los servicios de alimentación y catering requeridos para las actividades programadas a nivel interno y externo para el desarrollo de las funciones de la Caja de la Vivienda Popular.</t>
  </si>
  <si>
    <t>EMPRESA DE ACUEDUCTO ALCANTARILLADO Y ASEO DE BOGOTA ESP</t>
  </si>
  <si>
    <t xml:space="preserve">
Contratar la prestación del servicio integral de fotocopiado, encuadernación y fotoplanos que requiera la Caja de la Vivienda Popular de acuerdo con las especificaciones técnicas.</t>
  </si>
  <si>
    <t>12-APR-18</t>
  </si>
  <si>
    <t>$35`A LINEA 62. OF 3847</t>
  </si>
  <si>
    <t>Prestar el servicio público de transporte terrestre auotomotor especial en la modalidad de buses, busetas, microbuses y vans para la Caja de la Vivienda Popular.</t>
  </si>
  <si>
    <t>17-APR-18</t>
  </si>
  <si>
    <t>TRASLADO</t>
  </si>
  <si>
    <t>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</si>
  <si>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 xml:space="preserve">$36,3`a líneas 60 y 61  con cambio de concepto Of. 3819 </t>
  </si>
  <si>
    <t>Contratar el arrendamiento de una bodega para el archivo de gestión documental de la Caja de la Vivienda Popular , según acuerdo No. 049 de 2000 del Archivo General de la Nación.</t>
  </si>
  <si>
    <t>BIENES RAICES ECA LTDA</t>
  </si>
  <si>
    <t>Contratar la adquisicion de insumos y conservaciona para la intervenciòn de primeros auxilios documentales de la CVP</t>
  </si>
  <si>
    <t>FOR-038</t>
  </si>
  <si>
    <t>EXPRESOS Y SERVICIOS SOCIEDAD POR ACCIONES SIMPLIFICADA</t>
  </si>
  <si>
    <t>Prestación de servicios de apoyo a la gestión para el adelantamiento de actividades administrativas y operativas relacionadas con los procesos a cargo de la Dirección de Gestión Corporativa y CID.</t>
  </si>
  <si>
    <t>LAURA CAMILA FLOREZ CHAVERRA</t>
  </si>
  <si>
    <t>HORACIO  DUQUE DUQUE</t>
  </si>
  <si>
    <t>METALWOOD DE COLOMBIA LTDA</t>
  </si>
  <si>
    <t>T &amp; G MINOLTA LIMITADA</t>
  </si>
  <si>
    <t>3075-Reasentamiento de hogares localizados en zonas de alto riesgo no mitigable</t>
  </si>
  <si>
    <t>Reasentar a 4000 familias localizadas en zonas de riesgo no mitigable</t>
  </si>
  <si>
    <t>01 - Reasentar 4000 hogares localizados en zonas de alto riesgo no mitigable</t>
  </si>
  <si>
    <t>02 - Dotación</t>
  </si>
  <si>
    <t>01 - Adquisición y/o produccion de equipos, materiales, suministros y servicios propios del sector</t>
  </si>
  <si>
    <t>0754 - Actividades para el fortalecimiento de estrategias de comunicación</t>
  </si>
  <si>
    <t>01 - Recursos del Distrito</t>
  </si>
  <si>
    <t>12 - Otros distrito</t>
  </si>
  <si>
    <t>2.1.03.01.05.03.01.01.98
A Otras Entidades No Financieras Municipales y/o Distritales no consideradas Empresas</t>
  </si>
  <si>
    <t>A.17.1 - Procesos integrales de evaluación institucional y reorganización administrativa</t>
  </si>
  <si>
    <t>LICITACION PUBLICA</t>
  </si>
  <si>
    <t>DIRECCION DE REASENTAMIENTOS</t>
  </si>
  <si>
    <t>04 - Investigacion y Estudios</t>
  </si>
  <si>
    <t>01 - Investigación Básica Aplicada Y Estudios Propios Del Sector</t>
  </si>
  <si>
    <t>0101 - Estudios aplicables al fortalecimiento de los procesos misionales</t>
  </si>
  <si>
    <t>81111800
43232300</t>
  </si>
  <si>
    <t>A.7.3 - 
planes y proyectos de mejoramiento de vivienda y saneamiento básico</t>
  </si>
  <si>
    <t>Actualización del Sistema de informacion de la Dirección de Reasentamientos</t>
  </si>
  <si>
    <t>05 - Adquirir 370 Predios en Alto Riesgo</t>
  </si>
  <si>
    <t>01 - Infraestructura</t>
  </si>
  <si>
    <t>02 - Adquisición de Infrasestructura Propia del sector</t>
  </si>
  <si>
    <t>0027 - Aquisición de predios</t>
  </si>
  <si>
    <t>A.7.6 - 
subsidios para reubicación de viviendas asentadas en zonas alto riesgo</t>
  </si>
  <si>
    <t>Adquisición predial por Decreto 511 de 2010. LOCALIDAD: CIUDAD BOLIVAR; BARRIO: PARAISO QUIBA; ID:2013-Q04-00540</t>
  </si>
  <si>
    <t>RESOLUCION</t>
  </si>
  <si>
    <t>REAS-378</t>
  </si>
  <si>
    <t>02 Modificación de la Linea</t>
  </si>
  <si>
    <t>02 - Asignar 1428 Valor Único de Reconocimiento -VUR</t>
  </si>
  <si>
    <t>06 - Subsidios y Operaciones Financieras</t>
  </si>
  <si>
    <t>02 - Subsidios Directos</t>
  </si>
  <si>
    <t>0029 - VUR para reasentamientos de Hogares Localizados en zonas de alto riesgo no mitigable</t>
  </si>
  <si>
    <t>265 - Recursos de Balance Plusvalía</t>
  </si>
  <si>
    <t>VUR de la actual vigencia. Decreto 255 de 2013. LOCALIDAD: CIUDAD BOLIVAR; BARRIO: PARAISO QUIBA; ID: 2015-Q04-03677</t>
  </si>
  <si>
    <t>REAS-352</t>
  </si>
  <si>
    <t>21/032018</t>
  </si>
  <si>
    <t>MARIA CECILIA BERNAL</t>
  </si>
  <si>
    <t>41 - Plusvalia</t>
  </si>
  <si>
    <t>VUR de la actual vigencia. Decreto 255 de 2013. LOCALIDAD: SAN CRISTOBAL; BARRIO: LOS LIBERTADORES; ID: 2017-04-14979</t>
  </si>
  <si>
    <t>REAS-362</t>
  </si>
  <si>
    <t>3075-339</t>
  </si>
  <si>
    <t>MIGUEL AUGUSTO BOBADILLA</t>
  </si>
  <si>
    <t>VUR para Reasentamientos de Hogares Localizados en Zonas de Alto Riesgo No Mitigable</t>
  </si>
  <si>
    <t>Se reintegra saldo por disminución de valor en viabilidad de la linea 3075-411 (CORDIS 2018IE5467)</t>
  </si>
  <si>
    <t>03 - Recursos Administrados</t>
  </si>
  <si>
    <t>146 - Recursos del Balance de Libre Destinacion</t>
  </si>
  <si>
    <t>04 - Atender el 100% de las familias que se encuentran en relocalización transitoria</t>
  </si>
  <si>
    <t>0030 - Relocalización de hogares localizados en zonas de alto riesgo no mitigable</t>
  </si>
  <si>
    <t>A.12.4.2 - 
Reubicación de asentamientos humanos clasificados en condición de alto riesgo de desastre</t>
  </si>
  <si>
    <t>Ayuda temporal a las familias de varias localidades, para la relocalización de hogares localizados en zonas de alto riesgo no mitigable.</t>
  </si>
  <si>
    <t>REAS-162</t>
  </si>
  <si>
    <t>REGISTROS ADICIONALES</t>
  </si>
  <si>
    <t>06 - Gastos operativos</t>
  </si>
  <si>
    <t>0271 - Gastos de Viaje</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</si>
  <si>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</si>
  <si>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CONTRATACION DIRECTA</t>
  </si>
  <si>
    <t xml:space="preserve">03 - Recurso Humano </t>
  </si>
  <si>
    <t>04 - Gastos de personal operativo</t>
  </si>
  <si>
    <t>0312 - Personal contratado para apoyar las actividades propias de los proyectos de inversión misionales de la entidad</t>
  </si>
  <si>
    <t xml:space="preserve">A.7.5 - Planes y proyectos para la adquisicón y/o construcción de vivienda
</t>
  </si>
  <si>
    <t xml:space="preserve">Pago de Nómina y Aportes Patronales de Funcionarios de Planta Temporal de la Dirección de Reasentamientos de la Caja de la Vivienda Popular </t>
  </si>
  <si>
    <t xml:space="preserve"> MAYO ($163.804.578)
 JUNIO ($468.446.827)
 JULIO ($158.525.370)
 AGOSTO ($158.525.370)
 SEPTIEMBRE ($158.525.370)
 OCTUBRE ($158.525.370)
NOVIEMBRE ($158.525.370)
 DICIEMBRE ($668.112.567)</t>
  </si>
  <si>
    <t>REAS-181</t>
  </si>
  <si>
    <t>Prestación de servicios de apoyo a la gestión en lo relacionado con los trámites requeridos para el manejo de archivo y gestión documental generado desde la Dirección de Reasentamientos de la Caja de la Vivienda Popular.</t>
  </si>
  <si>
    <t>REAS-023</t>
  </si>
  <si>
    <t>MIGUEL ANGEL GONZALEZ CAÑON</t>
  </si>
  <si>
    <t>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t>
  </si>
  <si>
    <t>REAS-006</t>
  </si>
  <si>
    <t>JORGE RENE MORA DIAZ</t>
  </si>
  <si>
    <t>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t>
  </si>
  <si>
    <t>REAS-095</t>
  </si>
  <si>
    <t>MARTHA HELENA CORREAL ISAZA</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</si>
  <si>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</si>
  <si>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REAS-094</t>
  </si>
  <si>
    <t>MARIAN GHERALDINE BERMUDEZ SOLANO</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</si>
  <si>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</si>
  <si>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</si>
  <si>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INGRID CATALINA GOMEZ OSSA</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</si>
  <si>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</si>
  <si>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REAS-008</t>
  </si>
  <si>
    <t>3075-60</t>
  </si>
  <si>
    <t>MADDY ANDREA ARIAS ROJAS</t>
  </si>
  <si>
    <t>Prestación de servicios profesionales brindando apoyo en los procedimientos a cargo de la Dirección de Reasentamiento para el cumplimiento de sus objetivos.</t>
  </si>
  <si>
    <t>REAS-058</t>
  </si>
  <si>
    <t>WILLIAM FERNANDO HURTADO FERNANDEZ</t>
  </si>
  <si>
    <t>Prestación de servicios profesionales en la Dirección de Reasentamientos de la Caja de la Vivienda Popular, apoyando la ejecución de las diferentes actividades relacionadas con el componente técnico del área misional.</t>
  </si>
  <si>
    <t>REAS-017</t>
  </si>
  <si>
    <t>CRISTIAM CAMILO MOLINA CESPEDES</t>
  </si>
  <si>
    <t>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t>
  </si>
  <si>
    <t>REAS-004</t>
  </si>
  <si>
    <t>EDNA MARGARITA SANCHEZ CARO</t>
  </si>
  <si>
    <t>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</si>
  <si>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REAS-049</t>
  </si>
  <si>
    <t>MARIA CLAUDIA MONTOYA SOTO</t>
  </si>
  <si>
    <t>Prestación de servicios de apoyo a la gestión en los procedimientos relacionados con el componente técnico del programa de Reasentamientos para el cumplimiento de sus metas</t>
  </si>
  <si>
    <t>REAS-043</t>
  </si>
  <si>
    <t>JUAN JAIRO HERRERA GUERRERO</t>
  </si>
  <si>
    <t>Prestación de servicios profesionales, en temas jurídicos relacionados con asuntos precontractuales, así como en los procesos y procedimientos establecidos frente a la ejecución del programa misional de la dirección de reasentamientos de la Caja de la vivienda popular.</t>
  </si>
  <si>
    <t>REAS-005</t>
  </si>
  <si>
    <t>ERICA KATHERINE GALLO HERNANDEZ</t>
  </si>
  <si>
    <t>Prestación de servicios profesionales, como apoyo jurídico en las actuaciones propias que requiera la Dirección de Reasentamientos de la Caja de la Vivienda Popular en la ejecución del programa de Reasentamientos</t>
  </si>
  <si>
    <t>REAS-063</t>
  </si>
  <si>
    <t>SANDRA JOHANA PAI GOMEZ</t>
  </si>
  <si>
    <t>Prestar sus servicios profesionales para apoyar los asuntos presupuestales, herramientas de gestión, seguimiento administrativo y financiero  a cargo de la Dirección de Reasentamientos.</t>
  </si>
  <si>
    <t>Prestar sus servicios profesionales brindando apoyo al seguimiento administrativo y financiero de los procedimientos de la Dirección de Reasentamientos de la Caja de la Vivienda Popular.</t>
  </si>
  <si>
    <t>REAS-083</t>
  </si>
  <si>
    <t>LINA MARIA SILVA CABRERA</t>
  </si>
  <si>
    <t>Prestación de servicios profesionales brindando apoyo contable frente al control presupuestal, cierre financiero de la vigencia 2018 y la programación presupuestal 2019 que coordina la Dirección de Reasentamientos de la Caja de la Vivienda Popular</t>
  </si>
  <si>
    <t>REAS-064</t>
  </si>
  <si>
    <t>CESAR AUGUSTO SABOGAL TARAZONA</t>
  </si>
  <si>
    <t>Prestación de servicios de apoyo a la gestión, para el acompañamiento técnico y operativo en los procedimientos a cargo de la Dirección de Reasentamiento en el cumplimiento de sus objetivos.</t>
  </si>
  <si>
    <t>REAS-046</t>
  </si>
  <si>
    <t>YONATHAN  APONTE GUTIERREZ</t>
  </si>
  <si>
    <t>Prestación de servicios profesionales en el componente social de la Dirección de Reasentamientos de la Caja de la Vivienda Popular para la ejecución de planes y programas agenciados por el área misional.</t>
  </si>
  <si>
    <t>REAS-170</t>
  </si>
  <si>
    <t>ESPERANZA  CAJIAO MOSQUERA</t>
  </si>
  <si>
    <t>Prestación de servicios de apoyo a la gestión en lo relacionado con los trámites requeridos para el manejo de archivo y gestión documental generado desde la Dirección de Reasentamientos de la Caja de la Vivienda Popular</t>
  </si>
  <si>
    <t>Prestar sus servicios de apoyo a la gestión en la Dirección de Reasentamientos, brindando acompañamiento al componente social desarrollado en el marco de las acciones misionales a cargo de la entidad.</t>
  </si>
  <si>
    <t>REAS-034</t>
  </si>
  <si>
    <t>NIXA ZAIRANDRHY VILLAMIZAR MESA</t>
  </si>
  <si>
    <t>Prestación de servicios de apoyo a la gestión en lo relacionado con el manejo de archivo y gestión documental generado desde la Dirección de Reasentamientos de la Caja de la Vivienda Popular.</t>
  </si>
  <si>
    <t>Prestación de servicios de apoyo a la gestión en los procedimientos relacionados con el componente técnico del programa de Reasentamientos para el cumplimiento de sus metas.</t>
  </si>
  <si>
    <t>REAS-041</t>
  </si>
  <si>
    <t>CRISTOPHER GIOVANNI CEBALLOS MEDINA</t>
  </si>
  <si>
    <t>REAS-009</t>
  </si>
  <si>
    <t>MARIA XIMENA AVILA ACOSTA</t>
  </si>
  <si>
    <t>REAS-022</t>
  </si>
  <si>
    <t>LUIS EDUARDO RODRIGUEZ RAMIREZ</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</si>
  <si>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</si>
  <si>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REAS-076</t>
  </si>
  <si>
    <t>JESUS EDUARDO RESTREPO CASTELLANOS</t>
  </si>
  <si>
    <t>Prestación de servicios profesionales en el componente social de la Dirección de Reasentamientos de la Caja de la Vivienda Popular, para la ejecución de planes y programas agenciados por el área misional.</t>
  </si>
  <si>
    <t>REAS-171</t>
  </si>
  <si>
    <t>EDNA GISELA GARCIA ROMERO</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</si>
  <si>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</si>
  <si>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REAS-002</t>
  </si>
  <si>
    <t>ANGELICA MARIA BARREIRO GARRIDO</t>
  </si>
  <si>
    <t>Prestar sus servicios profesionales de apoyo tecnico en la Dirección de Reasentamientos en lo relacionado con Gestión Inmobiliaria de proyectos</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</si>
  <si>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</si>
  <si>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</si>
  <si>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</si>
  <si>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</si>
  <si>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</si>
  <si>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REAS-103</t>
  </si>
  <si>
    <t>YASMIN VIVIANA BELTRAN MARTINEZ</t>
  </si>
  <si>
    <t>Prestar sus servicios profesionales de apoyo a la gestión en la Dirección de Reasentamientos, en temas relacionados con el componente social apoyando procesos y procedimientos propios de la Dirección.</t>
  </si>
  <si>
    <t>Prestación de servicios profesionales, para el acompañamiento jurídico, en los procesos y procedimientos establecidos frente a la ejecución del programa misional de la Dirección de reasentamientos de la Caja de la Vivienda Popular.</t>
  </si>
  <si>
    <t>REAS-088</t>
  </si>
  <si>
    <t>MARCO ANTONIO AMADO VEGA</t>
  </si>
  <si>
    <t>03 - Lograr que 2012 hogares seleccionen vivienda</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</si>
  <si>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</si>
  <si>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</si>
  <si>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</si>
  <si>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Prestación de servicios profesionales en la Dirección de Reasentamientos de la Caja de la Vivienda Popular, apoyando la ejecución de las diferentes actividades relacionadas con el componente técnico del área misional</t>
  </si>
  <si>
    <t>REAS-097</t>
  </si>
  <si>
    <t>MIGUEL ANDRES ALFONSO ACOSTA</t>
  </si>
  <si>
    <t>Prestación de servicios profesionales para el acompañamiento y apoyo financiero respecto a la programación, control presupuestal y acciones a ejecutar en la implementación de una metodología tendiente al desarrollo integral de comunidades sostenibles de conformidad con la misionalidad de la Dirección de Reasentamientos de la Caja de la Vivienda Popular</t>
  </si>
  <si>
    <t>REAS-173</t>
  </si>
  <si>
    <t>3075-167</t>
  </si>
  <si>
    <t>ALEJANDRO  URIBE JIMENEZ</t>
  </si>
  <si>
    <t>Se retorna valor por anulación de la viabilidad 062 (CORDIS 2018IE279)</t>
  </si>
  <si>
    <t>Prestación de servicios profesionales para brindar apoyo en la implementación de la metodología de Desarrollo Integral de Comunidades Sostenibles de conformidad con la misionalidad de la Dirección de Reasentamientos de la Caja de la Vivienda Popular.</t>
  </si>
  <si>
    <t>REAS-087</t>
  </si>
  <si>
    <t>LUPIEN ROSENBERG ET ASSOCIES SAS</t>
  </si>
  <si>
    <t>Prestacion de servicios profesionales para apoyar a la Dirección de Reasentamientos en los procesos y procedimientos que se requieran para el cumplimiento de sus metas</t>
  </si>
  <si>
    <t>REAS-211</t>
  </si>
  <si>
    <t>JENNY CATALINA VILLARREAL OREJUELA</t>
  </si>
  <si>
    <t>REAS-101  ANULADA</t>
  </si>
  <si>
    <t>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t>
  </si>
  <si>
    <t>REAS-167</t>
  </si>
  <si>
    <t>JHOANA MARITZA MEDINA RAMIREZ</t>
  </si>
  <si>
    <t>REAS-149</t>
  </si>
  <si>
    <t>JUAN CAMILO MEJIA URIBE</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</si>
  <si>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</si>
  <si>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</si>
  <si>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LUISA DEL ROSARIO ALARIO SOLANO</t>
  </si>
  <si>
    <t xml:space="preserve">Prestar servicios profesionales en la implementacion y seguimiento de la politica de responsabilidad social, bajo los tres pilares de sostenibilidad a los procesos de gestion misional de la entidad. </t>
  </si>
  <si>
    <t>REAS-150</t>
  </si>
  <si>
    <t xml:space="preserve">Prestar sus servicios profesionales en la Dirección Jurídica en el desarrollo de actividades jurídicas relacionadas con los procedimientos, actuaciones, competencias y tramites en general que guarden relación con la Dirección Técnica de Reasentamientos de la CVP </t>
  </si>
  <si>
    <t>REAS-148</t>
  </si>
  <si>
    <t>AGUSTIN  LOBATON CORTES</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</si>
  <si>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t>
  </si>
  <si>
    <t>REAS-164</t>
  </si>
  <si>
    <t>Prestacion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t>
  </si>
  <si>
    <t>REAS-203</t>
  </si>
  <si>
    <t>REAS-151 ANULADA
9/01/2018</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</si>
  <si>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</si>
  <si>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REAS-168</t>
  </si>
  <si>
    <t>3075-13
3075-23
3075-51
3075-52
3075-59
3075-60</t>
  </si>
  <si>
    <t>LINA MARCELA RINCON ANDRADE</t>
  </si>
  <si>
    <t>Se retorna valor de viabilidad 082 Anulada (CORDIS 2018IE278)</t>
  </si>
  <si>
    <t>Prestar sus servicios profesionales en la Dirección de Reasentamientos de la Caja de la Vivienda Popular, apoyando procesos y procedimientos que en materia jurídica se requieran.</t>
  </si>
  <si>
    <t>Prestación de servicios profesionales de apoyo financiero respecto a la programación, control presupuestal y acciones de soporte en la Dirección de Reasentamientos de la Caja de la Vivienda Popular</t>
  </si>
  <si>
    <t>REAS-071</t>
  </si>
  <si>
    <t>GERLEY  AMAYA CULMA</t>
  </si>
  <si>
    <t>REAS-172</t>
  </si>
  <si>
    <t>3075-38
3075-52</t>
  </si>
  <si>
    <t>LORENA  GOMEZ ANGEL</t>
  </si>
  <si>
    <t>Prestación de servicios de apoyo a la gestión, en los componentes operativo y asistencial para la ejecución de los procesos y procedimientos internos de la Dirección de Reasentamientos frente al cumplimiento de sus metas.</t>
  </si>
  <si>
    <t>REAS-096</t>
  </si>
  <si>
    <t>MARTHA TERESA ORTIZ BARAHONA</t>
  </si>
  <si>
    <t>REAS-090</t>
  </si>
  <si>
    <t>MARIA CRISTINA ALVAREZ ESPINOSA</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</si>
  <si>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</si>
  <si>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REAS-065</t>
  </si>
  <si>
    <t>CLARA ROSARIO VILLAMIZAR BERNAL</t>
  </si>
  <si>
    <t>REAS-077</t>
  </si>
  <si>
    <t>CLAUDIA VIVIANA VANEGAS BELTRAN</t>
  </si>
  <si>
    <t>Prestación de servicios profesionales de apoyo financiero y administrativo, respecto a la verificación requisitos, control presupuestal y reporte de información a la Dirección de Reasentamientos de la Caja de la Vivienda Popular</t>
  </si>
  <si>
    <t>REAS-078</t>
  </si>
  <si>
    <t>JORGE EDUARDO RAMIREZ ALVIRA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</si>
  <si>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</si>
  <si>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REAS-068</t>
  </si>
  <si>
    <t>ERIKA PAOLA GALLEGO CAMARGO</t>
  </si>
  <si>
    <t>Prestar sus servicios profesionales en la Dirección de Reasentamientos apoyando la ejecución de las diferentes actividades de la Dirección, en especial temas relacionados con relocalización transitoria.</t>
  </si>
  <si>
    <t>REAS-039</t>
  </si>
  <si>
    <t>MANUEL JULIAN FIERRO GARZON</t>
  </si>
  <si>
    <t>REAS-010</t>
  </si>
  <si>
    <t>SEBASTIAN  GOMEZ LIEVANO</t>
  </si>
  <si>
    <t>Prestar sus servicios de apoyo técnico a nivel operativo y asistencial en el marco de Sistema de Informacion Geográfico en los procedimientos a cargo de la Dirección de Reasentamiento para el cumplimiento de sus metas.</t>
  </si>
  <si>
    <t>Prestación de servicios profesionales a la Dirección de Reasentamientos para la puesta en marcha del Sistema de Información Geográfica, el uso y adopción de tecnologías para la gestión de Información Georeferenciada del área misonal.</t>
  </si>
  <si>
    <t>REAS-100</t>
  </si>
  <si>
    <t>OSCAR FELIPE MARLES MONJE</t>
  </si>
  <si>
    <t>REAS-070</t>
  </si>
  <si>
    <t>FABIAN RICARDO MEJIA OSPINA</t>
  </si>
  <si>
    <t>Prestación de servicios profesionales en la implementación de módulos alfanuméricos y geográficos para el Sistema de Información Geográfica  de la Dirección de Reasentamientos de la Caja de la Vivienda Popular.</t>
  </si>
  <si>
    <t>REAS-053</t>
  </si>
  <si>
    <t>IVAN DARIO CARRILLO DURAN</t>
  </si>
  <si>
    <t>Prestar sus servicios profesionales en el componente social de la Dirección de Reasentamientos de la Caja de la Vivienda Popular, para la ejecución de planes y programas agenciados por el área misional</t>
  </si>
  <si>
    <t>REAS-169</t>
  </si>
  <si>
    <t>3075-23
3075-30</t>
  </si>
  <si>
    <t>DARLY PATRICIA CAICEDO CAMILO</t>
  </si>
  <si>
    <t>REAS-074</t>
  </si>
  <si>
    <t>IVAN EDUARDO CASSIANI GUTIERREZ</t>
  </si>
  <si>
    <t>REAS-089</t>
  </si>
  <si>
    <t>MARIA CAMILA GARCIA RAMOS</t>
  </si>
  <si>
    <t>REAS-067</t>
  </si>
  <si>
    <t>DORALBA  RESTREPO MEJIA</t>
  </si>
  <si>
    <t>Prestación de servicios profesionales, como apoyo jurídico en las actuaciones propias que requiera la Dirección de Reasentamientos de la Caja de la Vivienda Popular en la ejecución del programa de Reasentamientos.</t>
  </si>
  <si>
    <t>REAS-080</t>
  </si>
  <si>
    <t>JOVITA IDALBA SANABRIA CHARRY</t>
  </si>
  <si>
    <t>REAS-072</t>
  </si>
  <si>
    <t>GINNA CATALINA CRUZ RODRIGUEZ</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</si>
  <si>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</si>
  <si>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REAS-066</t>
  </si>
  <si>
    <t>DAMIAN LEONARDO QUIROGA DIAZ</t>
  </si>
  <si>
    <t xml:space="preserve"> Prestación de servicios profesionales para la ejecución de actividades a cargo del componente social y en especial lo relativo a la estrategia de Resiliencia y Sostenibilidad de la comunidad, en la Dirección de Reasentamientos de la caja de la Vivienda Popular.</t>
  </si>
  <si>
    <t>REAS-091</t>
  </si>
  <si>
    <t>MARIA ELSA SICHACA CASTELBLANCO</t>
  </si>
  <si>
    <t xml:space="preserve">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 </t>
  </si>
  <si>
    <t>REAS-105</t>
  </si>
  <si>
    <t>FLORANGELA  OLEA ARRIETA</t>
  </si>
  <si>
    <t>REAS-061</t>
  </si>
  <si>
    <t>ALDEMAR  GALVIS SILVA</t>
  </si>
  <si>
    <t>REAS-069</t>
  </si>
  <si>
    <t>ESTEBAN  PINZON OSPINA</t>
  </si>
  <si>
    <t>Prestación de servicios profesionales de seguimiento y soporte financiero respecto a la programación, control presupuestal y demás acciones en la Dirección de Reasentamientos de la Caja de la Vivienda Popular, de conformidad con los procesos y procedimientos establecidos.</t>
  </si>
  <si>
    <t>REAS-102</t>
  </si>
  <si>
    <t>YAMILET  OROZCO DIAZ</t>
  </si>
  <si>
    <t>Contratar los servicios profesionales de un comunicador social o periodista que apoye la locucion de productos audiovisuales y la presentacion de actividades con las comunidades beneficiarias de los distintos programas misionales con el fin de favorecer una comunicación activa de la misionalidad de la entidad.</t>
  </si>
  <si>
    <t>REAS-163</t>
  </si>
  <si>
    <t>Prestar los servicios profesionales para la planeacion, realizacion, y desarrollo de contenidos periodísticos que permitan la difusion y divulgacion de la gestion social que adelanta la CVP con las comunidades, a través de sus programas misionales</t>
  </si>
  <si>
    <t>REAS-165</t>
  </si>
  <si>
    <t>Contratar los servicios profesionales de un comunicador social que desarrolle la informacion periodistica de las areas misionales, para fortalecer los canales de comunicación internos y externos de la entidad conforme a la estrategia de comunicaciones de la CVP</t>
  </si>
  <si>
    <t>REAS-166</t>
  </si>
  <si>
    <t>Prestación de servicios de apoyo a la gestión en la Dirección de Reasentamientos de la Caja de Vivienda Popular, para asistencia técnica en aspectos administrativos, logísticos y operativos.</t>
  </si>
  <si>
    <t>REAS-147</t>
  </si>
  <si>
    <t>YOLIMA  OROZCO SUAREZ</t>
  </si>
  <si>
    <t>06 - Atención al 100% de las familias localizadas en el predio Vereditas en la localidad de Kennedy en el marco del Decreto 457 de 2017, que cumplan los requisitos de ingresos al programa.</t>
  </si>
  <si>
    <t>0068 - Decreto Vereditas</t>
  </si>
  <si>
    <t>Asignacion del instrumento financiero a las familias ocupantes del predio que hayan superado la fase de verificacion dentro del marco del Decreto 457 de 2017 el cual equivaldrá a setenta (70) Salarios Mínimos
Legales Mensuales Vigentes al momento de su reconocimiento</t>
  </si>
  <si>
    <t>04 - Gastos de Personal Operativo</t>
  </si>
  <si>
    <t>Prestación de servicios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</si>
  <si>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</si>
  <si>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REAS-124</t>
  </si>
  <si>
    <t>JORGE EDUARDO BARON MENDEZ</t>
  </si>
  <si>
    <t>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t>
  </si>
  <si>
    <t>REAS-128</t>
  </si>
  <si>
    <t>LAURA MAGOLA RAMIREZ GARCIA</t>
  </si>
  <si>
    <t>Prórroga y Adición al Contrato 548 de 2017 cuyo obejto es: Prestación de servicios profesionales para acompañar la ejecución de diferentes actividades relacionadas con el componente social de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</si>
  <si>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REAS-291</t>
  </si>
  <si>
    <t>FRANCY PAOLA CRUZ ARDILA</t>
  </si>
  <si>
    <t>Valor mes: 5.100.000 x 3 meses</t>
  </si>
  <si>
    <t>Garantizar la disponibilidad de personal de apoyo jurídico, técnico, operativo y financiero que adelantará los procesos y acciones en cumplimiento del objeto y obligaciones…</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</si>
  <si>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</si>
  <si>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REAS-205</t>
  </si>
  <si>
    <t>WADY JORGE CHICA ORDOÑEZ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</si>
  <si>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</si>
  <si>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REAS-132</t>
  </si>
  <si>
    <t>NATALIA JACKELINE MANRIQUE TRUJILLO</t>
  </si>
  <si>
    <t>REAS-115</t>
  </si>
  <si>
    <t>DORIAN DE JESUS COQUIES MAESTRE</t>
  </si>
  <si>
    <t>REAS-114</t>
  </si>
  <si>
    <t>DIANA MILENA OCHOA PARRA</t>
  </si>
  <si>
    <t>Prestación de servicios de apoyo a la gestión para el acompañamiento jurídico de las actividades requeridas, en el marco de la ejecución del Decreto No 457 de 2017. “Por medio del cual se implementa el programa de acompañamiento para la mitigación de las acciones derivadas de la recuperación del predio denominado VEREDITAS, ubicado en la localidad de Kennedy”.</t>
  </si>
  <si>
    <t>REAS-119</t>
  </si>
  <si>
    <t>HARLEY LIZARDO GONZALEZ RODRIGUEZ</t>
  </si>
  <si>
    <t>REAS-143</t>
  </si>
  <si>
    <t>LUIS CAMILO MARTINEZ TORO</t>
  </si>
  <si>
    <t>REAS-146</t>
  </si>
  <si>
    <t>LUZ MARINA MEDINA DURAN</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</si>
  <si>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</si>
  <si>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REAS-121</t>
  </si>
  <si>
    <t>JANETH VANESSA DIAZ CAMACHO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</si>
  <si>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t>
  </si>
  <si>
    <t>REAS-109</t>
  </si>
  <si>
    <t>Prórroga y adición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</si>
  <si>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REAS-317</t>
  </si>
  <si>
    <t>Valor mes: 2.400.000 x 3 meses</t>
  </si>
  <si>
    <t>Prestación de servicios profesionales para acompañar la ejecución de diferentes actividades relacionadas con el componente tecnico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</si>
  <si>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</si>
  <si>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</si>
  <si>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REAS-123</t>
  </si>
  <si>
    <t>JOHN STEVE PEÑA CASALLAS</t>
  </si>
  <si>
    <t>Prórroga y adición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</si>
  <si>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REAS-322</t>
  </si>
  <si>
    <t>Valor mes: 4.890.000 x 3 meses</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</si>
  <si>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</si>
  <si>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REAS-204</t>
  </si>
  <si>
    <t>JOSE ANDRES CHAVES MEJIA</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</si>
  <si>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</si>
  <si>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REAS-144</t>
  </si>
  <si>
    <t>MARIELA  GARCIA PINZON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</si>
  <si>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</si>
  <si>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REAS-140</t>
  </si>
  <si>
    <t>DIANA CAROLINA ESPITIA ZAMBRANO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</si>
  <si>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</si>
  <si>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REAS-107</t>
  </si>
  <si>
    <t>ANDRES CAMILO RODRIGUEZ JOYA</t>
  </si>
  <si>
    <t>Prestación de Servicios Profesionales en los procesos misionales y proyectos especiales para apoyar la gestión, planeación, concertación y seguimiento a los planesy cronogramas del componente social</t>
  </si>
  <si>
    <t>REAS-152</t>
  </si>
  <si>
    <t>REAS-001</t>
  </si>
  <si>
    <t>3075-75</t>
  </si>
  <si>
    <t>ANA MARÍA ESCUDERO ORTIZ</t>
  </si>
  <si>
    <t>REAS-003</t>
  </si>
  <si>
    <t>3075-38</t>
  </si>
  <si>
    <t>DENICE ASTRID OLAYA DUARTE</t>
  </si>
  <si>
    <t>REAS-007</t>
  </si>
  <si>
    <t>3075-70</t>
  </si>
  <si>
    <t>LINA ANDREA GARCIA MUÑOZ</t>
  </si>
  <si>
    <t>REAS-011</t>
  </si>
  <si>
    <t>3075-55</t>
  </si>
  <si>
    <t>ALBERTO  RODRIGUEZ GOMEZ</t>
  </si>
  <si>
    <t>REAS-012</t>
  </si>
  <si>
    <t>3075-31</t>
  </si>
  <si>
    <t>ALEXANDER  MARTINEZ</t>
  </si>
  <si>
    <t>Prestación de servicios profesionales, para el acompañamiento y apoyo a la Dirección de Reasentamientos de la Caja de la Vivienda Popular, en la definición, control y seguimiento del programa misional, de conformidad con los procesos y procedimientos internos e institucionales</t>
  </si>
  <si>
    <t>REAS-013</t>
  </si>
  <si>
    <t>3075-44</t>
  </si>
  <si>
    <t>ANGI VIVIANA VELASQUEZ VELASQUEZ</t>
  </si>
  <si>
    <t>REAS-014</t>
  </si>
  <si>
    <t>3075-12</t>
  </si>
  <si>
    <t>CAMILO ANDRES PINZON RODRIGUEZ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</si>
  <si>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</si>
  <si>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REAS-015</t>
  </si>
  <si>
    <t>3075-40</t>
  </si>
  <si>
    <t>CARLOS ARMANDO CRIOLLO LAMILLA</t>
  </si>
  <si>
    <t>Prestación de servicios profesionales en la Dirección de Reasentamientos de la Caja de la Vivienda Popular, apoyando los procesos y procedimientos que en materia jurídica se requieran.</t>
  </si>
  <si>
    <t>REAS-016</t>
  </si>
  <si>
    <t>3075-26</t>
  </si>
  <si>
    <t>CESAR EDUARDO RODRIGUEZ PINZON</t>
  </si>
  <si>
    <t>Prestación de servicios profesionales de apoyo financiero respecto a la programación, control presupuestal y acciones de soporte en la Dirección de Reasentamientos de la Caja de la Vivienda Popular.</t>
  </si>
  <si>
    <t>REAS-018</t>
  </si>
  <si>
    <t>DIEGO FERNANDO CUBIDES REINA</t>
  </si>
  <si>
    <t>REAS-019</t>
  </si>
  <si>
    <t>DINEY YAMILE RODRIGUEZ ZIPACON</t>
  </si>
  <si>
    <t>REAS-020</t>
  </si>
  <si>
    <t>JENNIFER  MALAVER SOLANO</t>
  </si>
  <si>
    <t>REAS-021</t>
  </si>
  <si>
    <t>CAROL ELIANA GONZALEZ GOMEZ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</si>
  <si>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</si>
  <si>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</si>
  <si>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NINA ANDREA HURTADO LIEVANO</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</si>
  <si>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</si>
  <si>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</si>
  <si>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OLGA LUCIA CRUZ GARZON</t>
  </si>
  <si>
    <t>REAS-026</t>
  </si>
  <si>
    <t>3075-33</t>
  </si>
  <si>
    <t>SANDRA MIREYA GUTIERREZ LIEVANO</t>
  </si>
  <si>
    <t>REAS-027</t>
  </si>
  <si>
    <t>3075-41</t>
  </si>
  <si>
    <t>ANGELICA MARIA ACOSTA CUELLAR</t>
  </si>
  <si>
    <t>Prestación de servicios profesionales en el componente social de la dirección de reasentamientos en la caja de vivienda popular, para la ejecución de planes y programas agenciados por el área misional</t>
  </si>
  <si>
    <t>REAS-028</t>
  </si>
  <si>
    <t>3075-30</t>
  </si>
  <si>
    <t>CRISTIAN ALEJANDRO BARRETO ARCOS</t>
  </si>
  <si>
    <t>REAS-029</t>
  </si>
  <si>
    <t>DIANA CAROLINA SANCHEZ ARDILA</t>
  </si>
  <si>
    <t>REAS-030</t>
  </si>
  <si>
    <t>HASBLEIDY  PUENTES MONTAÑA</t>
  </si>
  <si>
    <t>"Prestación de servicios profesionales en el componente social de la Dirección de Reasentamientos de la Caja de la Vivienda Popular, para la ejecución de planes y programas agenciados por el área misional."</t>
  </si>
  <si>
    <t>REAS-031</t>
  </si>
  <si>
    <t>EDGAR FABIAN DEL CASTILLO MURCIA</t>
  </si>
  <si>
    <t>REAS-032</t>
  </si>
  <si>
    <t>JOSE DOMINGO GRACIA BAYUELO</t>
  </si>
  <si>
    <t>REAS-033</t>
  </si>
  <si>
    <t>JUDY  CRUZ PINEDA</t>
  </si>
  <si>
    <t>REAS-035</t>
  </si>
  <si>
    <t>PAULA TATIANA RAMOS DUQUE</t>
  </si>
  <si>
    <t>REAS-036</t>
  </si>
  <si>
    <t>RUBEN DARIO RODAS CHINGATE</t>
  </si>
  <si>
    <t>Prestación de servicios profesionales en el componente social de la Dirección de Reasentamientos de la Caja de la Vivienda Popular, para la ejecución de planes y programas agenciados por el área misional</t>
  </si>
  <si>
    <t>REAS-037</t>
  </si>
  <si>
    <t>SANDRA MILENA GAMBA RUIZ</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</si>
  <si>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</si>
  <si>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</si>
  <si>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VALENTINA  LOMANTO PERDOMO</t>
  </si>
  <si>
    <t>Prestación de servicios de apoyo a la gestión en los procedimientos a cargo de la Dirección de Reasentamientos de la Caja de la Vivienda Popular, para el cumplimiento de sus metas</t>
  </si>
  <si>
    <t>REAS-040</t>
  </si>
  <si>
    <t>3075-71</t>
  </si>
  <si>
    <t>BLANCA LEIDY PEÑA CALDERON</t>
  </si>
  <si>
    <t>Prestación de servicios de apoyo a la gestión en la implementación de nuevos módulos para el Sistema de Información Geográfica de la Dirección de Reasentamientos de la Caja de la Vivienda Popular</t>
  </si>
  <si>
    <t>REAS-042</t>
  </si>
  <si>
    <t>FABIAN DANILO CAICEDO MOLINA</t>
  </si>
  <si>
    <t>REAS-044</t>
  </si>
  <si>
    <t>MARGARITA MARIA GIRALDO CALDERON</t>
  </si>
  <si>
    <t>Prestación de servicios profesionales brindando apoyo al seguimiento administrativo y financiero de los procedimientos de la Dirección de Reasentamientos de la Caja de la Vivienda Popular</t>
  </si>
  <si>
    <t>REAS-045</t>
  </si>
  <si>
    <t>MICHAEL ALEXANDER LADINO PEÑUELA</t>
  </si>
  <si>
    <t>REAS-047</t>
  </si>
  <si>
    <t>LEIDY JINETH SANABRIA SANABRIA</t>
  </si>
  <si>
    <t>REAS-048</t>
  </si>
  <si>
    <t>MARGARITA LUCIA GOMEZ ECHEVERRY</t>
  </si>
  <si>
    <t>REAS-050</t>
  </si>
  <si>
    <t>CAREN MILENA ROMERO FIGUEROA</t>
  </si>
  <si>
    <t>REAS-051</t>
  </si>
  <si>
    <t>CLAUDIA BIBIANA ESPINOSA HORTUA</t>
  </si>
  <si>
    <t>Prestación de serviciosde apoyo a la gestion, para el acompañamiento jurídico, en los procesos y procedimientos establecidos frente a la ejecución del programa misional de la Dirección de Reasentamientos de la Caja de la Vivienda Popular</t>
  </si>
  <si>
    <t>REAS-052</t>
  </si>
  <si>
    <t>3075-62</t>
  </si>
  <si>
    <t>MARIA FERNANDA ANAYA SEDAN</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</si>
  <si>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</si>
  <si>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REAS-054</t>
  </si>
  <si>
    <t>JESUS ALIRIO CHIRIMIA PERTIAGA</t>
  </si>
  <si>
    <t>REAS-055</t>
  </si>
  <si>
    <t>MARTHA CECILIA DIAZ ROCHA</t>
  </si>
  <si>
    <t>Prestación de servicios profesionales, para el acompañamiento jurídico, en los procesos y procedimientos establecidos frente a la ejecución del programa misional de la Dirección de Reasentamientos de la Caja de la Vivienda Popular</t>
  </si>
  <si>
    <t>REAS-056</t>
  </si>
  <si>
    <t>MIGUEL DAVID PERDOMO DURAN</t>
  </si>
  <si>
    <t>REAS-057</t>
  </si>
  <si>
    <t>MILENA ASTRITH BECERRA TORO</t>
  </si>
  <si>
    <t>REAS-059</t>
  </si>
  <si>
    <t>YURY ANDREA RICO MAHECHA</t>
  </si>
  <si>
    <t>Prestación de servicios profesionales, para el acompañamiento jurídico, en los procesos y procedimientos establecidos frente a la ejecución del programa misional de la Dirección de reasentamientos de la Caja de la Vivienda Popular</t>
  </si>
  <si>
    <t>REAS-060</t>
  </si>
  <si>
    <t>EGNA MARGARITA ROJAS VARGAS</t>
  </si>
  <si>
    <t>Prestación de servicios profesionales para el acompañamiento y apoyo financiero respecto a la programación, control presupuestal y acciones a ejecutar en la implementación una metodología tendiente al desarrollo integral de comunidades sostenibles de conformidad con la misionalidad de la Dirección de Reasentamientos de la Caja de la Vivienda Popular</t>
  </si>
  <si>
    <t>REAS-062
 ANULADA</t>
  </si>
  <si>
    <t>3075-48</t>
  </si>
  <si>
    <t>03 Eliminación de la Linea</t>
  </si>
  <si>
    <t>Prestación de servicios profesionales a la Dirección de Reasentamientos de la Caja de la Vivienda Popular, apoyando la gestión administrativa y financiera en relación con los contratos y convenios suscritos por el área misional</t>
  </si>
  <si>
    <t>REAS-075</t>
  </si>
  <si>
    <t>3075-25</t>
  </si>
  <si>
    <t>JAIME ALONSO CRUZ OLARTE</t>
  </si>
  <si>
    <t>Prestación de servicios profesionales para apoyar los asuntos presupuestales y herramientas de gestión a cargo de la Dirección de Reasentamientos de la Caja de la Vivienda Popular</t>
  </si>
  <si>
    <t>REAS-079</t>
  </si>
  <si>
    <t>JOSE LUIS REYES DELGADO</t>
  </si>
  <si>
    <t>REAS-081</t>
  </si>
  <si>
    <t>JUAN CAMILO MEJIA PAREDES</t>
  </si>
  <si>
    <t>REAS-082
 ANULADA</t>
  </si>
  <si>
    <t>3075-59</t>
  </si>
  <si>
    <t>REAS-084</t>
  </si>
  <si>
    <t>LINDA GISSELLE SUAREZ VILLAMIZAR</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</si>
  <si>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</si>
  <si>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</si>
  <si>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</si>
  <si>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en temas relacionados con el componente social apoyando procesos y procedimientos propios de la Dirección de Reasentamientos de la Caja de la Vivienda popular</t>
  </si>
  <si>
    <t>REAS-093</t>
  </si>
  <si>
    <t>MARIA VICTORIA APONTE VALVERDE</t>
  </si>
  <si>
    <t>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t>
  </si>
  <si>
    <t>REAS-099</t>
  </si>
  <si>
    <t>NEYVA ABOGADOS ASOCIADOS S A S</t>
  </si>
  <si>
    <t>Prestación de servicios de apoyo a la gestión en lo relacionado con el manejo de archivo y gestión documental generado desde la Dirección de Reasentamientos de la Caja de la Vivienda Popular</t>
  </si>
  <si>
    <t>REAS-104</t>
  </si>
  <si>
    <t>CAMILA ANDREA HUERTAS HUERTAS</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</si>
  <si>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</si>
  <si>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REAS-106</t>
  </si>
  <si>
    <t>3075-118</t>
  </si>
  <si>
    <t>ANDREA MARGARITA BERNAL VERGARA</t>
  </si>
  <si>
    <t>Prestación de servicios profesionales, para el acompañamiento jurídico, en los procesos y procedimientos establecidos frente a la ejecución del programa misional de la Dirección de Reasentamientos de la Caja de la Vivienda Popular.</t>
  </si>
  <si>
    <t>REAS-108</t>
  </si>
  <si>
    <t>DIANA PAOLA MATIZ CASTILLO</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</si>
  <si>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</si>
  <si>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REAS-110</t>
  </si>
  <si>
    <t>3075-98</t>
  </si>
  <si>
    <t>BLANCA CECILIA QUINTERO CHAVARRO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</si>
  <si>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</si>
  <si>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REAS-111</t>
  </si>
  <si>
    <t>3075-108</t>
  </si>
  <si>
    <t>YESENIA  MIRANDA PACHECO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</si>
  <si>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</si>
  <si>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REAS-112</t>
  </si>
  <si>
    <t>CLORIS DEYANIRA MONICA ORTEGA CARDOZO</t>
  </si>
  <si>
    <t>REAS-113</t>
  </si>
  <si>
    <t>DIANA CAROLINA FABRA GUTIERREZ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</si>
  <si>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</si>
  <si>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REAS-116</t>
  </si>
  <si>
    <t>3075-115</t>
  </si>
  <si>
    <t>DORIS JOHANNA NOVOA LOZANO</t>
  </si>
  <si>
    <t>REAS-117</t>
  </si>
  <si>
    <t>3075-114</t>
  </si>
  <si>
    <t>REAS-118</t>
  </si>
  <si>
    <t>3075-107</t>
  </si>
  <si>
    <t>GLORIA ESPERANZA CASTRO RODRIGUEZ</t>
  </si>
  <si>
    <t>REAS-120</t>
  </si>
  <si>
    <t>3075-110</t>
  </si>
  <si>
    <t>INGRID ESTEFANY YAGUE RODRIGUEZ</t>
  </si>
  <si>
    <t>REAS-122</t>
  </si>
  <si>
    <t>JENNY KATHERINE GONZALEZ SANCHEZ</t>
  </si>
  <si>
    <t>REAS-125</t>
  </si>
  <si>
    <t>3075-111</t>
  </si>
  <si>
    <t>JUAN CARLOS ALVARADO SANCHEZ</t>
  </si>
  <si>
    <t>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</si>
  <si>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REAS-126</t>
  </si>
  <si>
    <t>LEYDI JOHANA GONZALEZ URREGO</t>
  </si>
  <si>
    <t>REAS-127</t>
  </si>
  <si>
    <t>KATHIA LILIANA RODRIGUEZ CAMARGO</t>
  </si>
  <si>
    <t>REAS-129</t>
  </si>
  <si>
    <t>JUAN PABLO MOJICA FRIEDE</t>
  </si>
  <si>
    <t>REAS-130</t>
  </si>
  <si>
    <t>3075-99</t>
  </si>
  <si>
    <t>LIZETH YANIRA ARDILA MUÑOZ</t>
  </si>
  <si>
    <t>REAS-131</t>
  </si>
  <si>
    <t>3075-120</t>
  </si>
  <si>
    <t>MARTA ESPERANZA CARDENAS ESTRADA</t>
  </si>
  <si>
    <t>REAS-133</t>
  </si>
  <si>
    <t>MARTHA CAROLINA HERNANDEZ ACEVEDO</t>
  </si>
  <si>
    <t>REAS-134</t>
  </si>
  <si>
    <t>RUTH MIREYA VARGAS FIGUEREDO</t>
  </si>
  <si>
    <t>REAS-135</t>
  </si>
  <si>
    <t>3075-112</t>
  </si>
  <si>
    <t>SONIA MILENA PINZON GARZON</t>
  </si>
  <si>
    <t>REAS-136</t>
  </si>
  <si>
    <t>3075-119</t>
  </si>
  <si>
    <t>VICTOR MANUEL LOPEZ RINCON</t>
  </si>
  <si>
    <t>REAS-137</t>
  </si>
  <si>
    <t>VLADIMIR  MARTINEZ MARTINEZ</t>
  </si>
  <si>
    <t>REAS-138</t>
  </si>
  <si>
    <t>YALEIDY ANDREA RICO RADA</t>
  </si>
  <si>
    <t>REAS-139</t>
  </si>
  <si>
    <t>3075-105</t>
  </si>
  <si>
    <t>ANGEL EDUARDO TRIANA ROJAS</t>
  </si>
  <si>
    <t>REAS-141</t>
  </si>
  <si>
    <t>ELCIDA  CONTRERAS AYALA</t>
  </si>
  <si>
    <t>REAS-142</t>
  </si>
  <si>
    <t>FRANCISCO EUGENIO SUPELANO SUAREZ</t>
  </si>
  <si>
    <t>REAS-145</t>
  </si>
  <si>
    <t>3075-106</t>
  </si>
  <si>
    <t>MARIENT LORENA PADILLA GARCIA</t>
  </si>
  <si>
    <t>Asignacion del instrumento financiero a las familias ocupantes del predio que hayan superado la fase de verificacion dentro del marco del Decreto 457 de 2017. LOCALIDAD: KENNEDY; BARRIO: VEREDITAS; ID:2017-8-383832</t>
  </si>
  <si>
    <t>REAS-153</t>
  </si>
  <si>
    <t>3075-91</t>
  </si>
  <si>
    <t>SARA JOHANNA MONTAÑO PRIETO</t>
  </si>
  <si>
    <t>Asignacion del instrumento financiero a las familias ocupantes del predio que hayan superado la fase de verificacion dentro del marco del Decreto 457 de 2017. LOCALIDAD: KENNEDY; BARRIO: VEREDITAS; ID:2017-8-383652</t>
  </si>
  <si>
    <t>REAS-154</t>
  </si>
  <si>
    <t>FLOR MARINA MAHECHA SANCHEZ</t>
  </si>
  <si>
    <t>Asignacion del instrumento financiero a las familias ocupantes del predio que hayan superado la fase de verificacion dentro del marco del Decreto 457 de 2017. LOCALIDAD: KENNEDY; BARRIO: VEREDITAS; ID:2017-8-383660</t>
  </si>
  <si>
    <t>REAS-155</t>
  </si>
  <si>
    <t>MARLEN  PRIETO QUIROGA</t>
  </si>
  <si>
    <t>Asignacion del instrumento financiero a las familias ocupantes del predio que hayan superado la fase de verificacion dentro del marco del Decreto 457 de 2017. LOCALIDAD: KENNEDY; BARRIO: VEREDITAS; ID:2017-8-383690</t>
  </si>
  <si>
    <t>REAS-156</t>
  </si>
  <si>
    <t>REYES ALFONSO LEYTON</t>
  </si>
  <si>
    <t>Asignacion del instrumento financiero a las familias ocupantes del predio que hayan superado la fase de verificacion dentro del marco del Decreto 457 de 2017. LOCALIDAD: KENNEDY; BARRIO: VEREDITAS; ID:2017-8-383724</t>
  </si>
  <si>
    <t>REAS-157</t>
  </si>
  <si>
    <t>DIANA KATERIN ESTEVEZ USSA</t>
  </si>
  <si>
    <t>Asignacion del instrumento financiero a las familias ocupantes del predio que hayan superado la fase de verificacion dentro del marco del Decreto 457 de 2017. LOCALIDAD: KENNEDY; BARRIO: VEREDITAS; ID:2017-8-383788</t>
  </si>
  <si>
    <t>REAS-158</t>
  </si>
  <si>
    <t>YULI ALEJANDRA RICO GUTIERREZ</t>
  </si>
  <si>
    <t>Asignacion del instrumento financiero a las familias ocupantes del predio que hayan superado la fase de verificacion dentro del marco del Decreto 457 de 2017. LOCALIDAD: KENNEDY; BARRIO: VEREDITAS; ID:2017-8-383725</t>
  </si>
  <si>
    <t>REAS-159</t>
  </si>
  <si>
    <t>ELCIA  MUÑOZ DE JIMENEZ</t>
  </si>
  <si>
    <t>Asignacion del instrumento financiero a las familias ocupantes del predio que hayan superado la fase de verificacion dentro del marco del Decreto 457 de 2017. LOCALIDAD: KENNEDY; BARRIO: VEREDITAS; ID:2017-8-383714</t>
  </si>
  <si>
    <t>REAS-160</t>
  </si>
  <si>
    <t>INES  VALENCIA ORTIZ</t>
  </si>
  <si>
    <t>Asignacion del instrumento financiero a las familias ocupantes del predio que hayan superado la fase de verificacion dentro del marco del Decreto 457 de 2017. LOCALIDAD: KENNEDY; BARRIO: VEREDITAS; ID:2017-8-383707</t>
  </si>
  <si>
    <t>REAS-161</t>
  </si>
  <si>
    <t>RUSMEY  VERGARA CHARA</t>
  </si>
  <si>
    <t>Asignacion del instrumento financiero a las familias ocupantes del predio que hayan superado la fase de verificacion dentro del marco del Decreto 457 de 2017. LOCALIDAD: KENNEDY; BARRIO: VEREDITAS; ID:2017-8-383669</t>
  </si>
  <si>
    <t>REAS-174</t>
  </si>
  <si>
    <t>LILIANA PATRICIA GARCIA DIAZ</t>
  </si>
  <si>
    <t>Asignacion del instrumento financiero a las familias ocupantes del predio que hayan superado la fase de verificacion dentro del marco del Decreto 457 de 2017. LOCALIDAD: KENNEDY; BARRIO: VEREDITAS; ID:2017-8-383661</t>
  </si>
  <si>
    <t>REAS-175</t>
  </si>
  <si>
    <t>OLGA MILENA PRIETO ROJAS</t>
  </si>
  <si>
    <t>Asignacion del instrumento financiero a las familias ocupantes del predio que hayan superado la fase de verificacion dentro del marco del Decreto 457 de 2017. LOCALIDAD: KENNEDY; BARRIO: VEREDITAS; ID:2017-8-383694</t>
  </si>
  <si>
    <t>REAS-176</t>
  </si>
  <si>
    <t>GRACIELA  RODRIGUEZ PINTO</t>
  </si>
  <si>
    <t>Asignacion del instrumento financiero a las familias ocupantes del predio que hayan superado la fase de verificacion dentro del marco del Decreto 457 de 2017. LOCALIDAD: KENNEDY; BARRIO: VEREDITAS; ID:2017-8-383702</t>
  </si>
  <si>
    <t>REAS-177</t>
  </si>
  <si>
    <t>LUIS ALBERTO MURCIA ESCALANTE</t>
  </si>
  <si>
    <t>Adquisición de mejoras y cesión de la posesión por Decreto 511 de 2010. LOCALIDAD: CIUDAD BOLIVAR; BARRIO: SANTA VIVIANA; ID: 2003-19-5176</t>
  </si>
  <si>
    <t>REAS-178</t>
  </si>
  <si>
    <t>3075-4</t>
  </si>
  <si>
    <t>ANDRES  YATE</t>
  </si>
  <si>
    <t>VUR de la actual vigencia de acuerdo con el Decreto 255 de 2013. LOCALIDAD: CIUDAD BOLIVAR; BARRIO: PARAISO QUIBA; ID: 2015-Q04-03692</t>
  </si>
  <si>
    <t>REAS-179</t>
  </si>
  <si>
    <t>3075-7</t>
  </si>
  <si>
    <t>MARIA FANNY PERDOMO AMAYA</t>
  </si>
  <si>
    <t>VUR de la actual vigencia de acuerdo con el Decreto 255 de 2013. LOCALIDAD: USAQUEN; BARRIO: CERRO NORTE; ID: 2006-1-9146</t>
  </si>
  <si>
    <t>REAS-180</t>
  </si>
  <si>
    <t>DOLORES  MUNAR DE LOMBANA</t>
  </si>
  <si>
    <t>Asignación de VUR, coforme al avalúo comercial (asignación primera vez). Decreto 255 de 2013. LOCALIDAD: USAQUEN; BARRIO: ARAUQUITA; ID:2009-1-11282</t>
  </si>
  <si>
    <t>REAS-182</t>
  </si>
  <si>
    <t>Ajuste de VUR por Decreto 249 de 2015 (Altos de la Estancia). LOCALIDAD: CIUDAD BOLIVAR; BARRIO: MIRADOR DE LA ESTANCIA; ID: 2012-ALES-69</t>
  </si>
  <si>
    <t>REAS-183</t>
  </si>
  <si>
    <t>Excedente de VUR conforme al avalúo comercial (asignación segunda vez). LOCALIDAD: SAN CRISTOBAL; BARRIO: LA BELLEZA; ID: 2013-Q10-00496</t>
  </si>
  <si>
    <t>REAS-184</t>
  </si>
  <si>
    <t>ASCENCION REBECA RODRIGUEZ RODRIGUEZ</t>
  </si>
  <si>
    <t>VUR de la actual vigencia de acuerdo con el Decreto 255 de 2013. LOCALIDAD: CIUDAD BOLIVAR; BARRIO: LA CUMBRE 8 DE DICIEMBRE; ID: 2014-LC-00814</t>
  </si>
  <si>
    <t>REAS-185</t>
  </si>
  <si>
    <t>ROSARIO  JANSASOY AGREDA</t>
  </si>
  <si>
    <t>Excedente de VUR conforme al avalúo comercial (asignación segunda vez). Decreto 255 de 2013. LOCALIDAD: SAN CRISTOBAL; BARRIO: QUINDIO; ID: 2015-Q20-04059</t>
  </si>
  <si>
    <t>REAS-186</t>
  </si>
  <si>
    <t>GIOVANNY  GUASCA RODRIGUEZ</t>
  </si>
  <si>
    <t>VUR de la actual vigencia de acuerdo con el Decreto 255 de 2013. LOCALIDAD: CIUDAD BOLIVAR; BARRIO: EL MIRADOR 3; ID: 2017-19-14960</t>
  </si>
  <si>
    <t>REAS-187</t>
  </si>
  <si>
    <t>PASCUAL ALVEIRO SEMANATE ANACONA</t>
  </si>
  <si>
    <t>VUR de la actual vigencia de acuerdo con el Decreto 255 de 2013. LOCALIDAD: CIUDAD BOLIVAR; BARRIO: EL MIRADOR 3; ID: 2017-19-14976</t>
  </si>
  <si>
    <t>REAS-188</t>
  </si>
  <si>
    <t>JOSE IGNACIO TORRES HORTA</t>
  </si>
  <si>
    <t>VUR de la actual vigencia de acuerdo con el Decreto 255 de 2013. LOCALIDAD: CIUDAD BOLIVAR; BARRIO: EL MIRADOR 3; ID: 2017-19-14978</t>
  </si>
  <si>
    <t>REAS-189</t>
  </si>
  <si>
    <t>ALEXANDER  OYOLA CULMA</t>
  </si>
  <si>
    <t>Adquisición predial Decreto 511 de 2010. LOCALIDAD: USAQUEN; BARRIO: CASA DE TEJA; ID: 2013-Q09-00140</t>
  </si>
  <si>
    <t>REAS-190</t>
  </si>
  <si>
    <t>EGBERTO  URREGO VALBUENA</t>
  </si>
  <si>
    <t>Asignacion del instrumento financiero a las familias ocupantes del predio que hayan superado la fase de verificacion dentro del marco del Decreto 457 de 2017. LOCALIDAD: KENNEDY; BARRIO: VEREDITAS; ID:2017-8-383741</t>
  </si>
  <si>
    <t>REAS-191</t>
  </si>
  <si>
    <t>IVANEIDER  VARGAS COLLAZOS</t>
  </si>
  <si>
    <t>Asignacion del instrumento financiero a las familias ocupantes del predio que hayan superado la fase de verificacion dentro del marco del Decreto 457 de 2017. LOCALIDAD: KENNEDY; BARRIO: VEREDITAS; ID:2017-8-383649</t>
  </si>
  <si>
    <t>REAS-192</t>
  </si>
  <si>
    <t>Asignacion del instrumento financiero a las familias ocupantes del predio que hayan superado la fase de verificacion dentro del marco del Decreto 457 de 2017. LOCALIDAD: KENNEDY; BARRIO: VEREDITAS; ID:2017-8-383663</t>
  </si>
  <si>
    <t>REAS-193</t>
  </si>
  <si>
    <t>CAROLINA  NOPE ARIAS</t>
  </si>
  <si>
    <t>Asignacion del instrumento financiero a las familias ocupantes del predio que hayan superado la fase de verificacion dentro del marco del Decreto 457 de 2017. LOCALIDAD: KENNEDY; BARRIO: VEREDITAS; ID:2017-8-383774</t>
  </si>
  <si>
    <t>REAS-194</t>
  </si>
  <si>
    <t>JOHAN SANTIAGO LOPEZ ROMERO</t>
  </si>
  <si>
    <t>Asignacion del instrumento financiero a las familias ocupantes del predio que hayan superado la fase de verificacion dentro del marco del Decreto 457 de 2017. LOCALIDAD: KENNEDY; BARRIO: VEREDITAS; ID:2017-8-383883</t>
  </si>
  <si>
    <t>REAS-195</t>
  </si>
  <si>
    <t>BERTHA LILIANA VASQUEZ CASTRILLON</t>
  </si>
  <si>
    <t>REAS-196</t>
  </si>
  <si>
    <t>CRISTIAN ALEXIS CAIPA LOPEZ</t>
  </si>
  <si>
    <t>Asignacion del instrumento financiero a las familias ocupantes del predio que hayan superado la fase de verificacion dentro del marco del Decreto 457 de 2017. LOCALIDAD: KENNEDY; BARRIO: VEREDITAS; ID:2017-8-383884</t>
  </si>
  <si>
    <t>REAS-197</t>
  </si>
  <si>
    <t>JOHAN DANIEL WILCHES LOPEZ</t>
  </si>
  <si>
    <t>Asignacion del instrumento financiero a las familias ocupantes del predio que hayan superado la fase de verificacion dentro del marco del Decreto 457 de 2017. LOCALIDAD: KENNEDY; BARRIO: VEREDITAS; ID:2017-8-383885</t>
  </si>
  <si>
    <t>REAS-198</t>
  </si>
  <si>
    <t>TATIANA ASTRID GARZON MONCADA</t>
  </si>
  <si>
    <t>Asignacion del instrumento financiero a las familias ocupantes del predio que hayan superado la fase de verificacion dentro del marco del Decreto 457 de 2017. LOCALIDAD: KENNEDY; BARRIO: VEREDITAS; ID:2017-8-383886</t>
  </si>
  <si>
    <t>REAS-199</t>
  </si>
  <si>
    <t>LINA KATHERINE AYALA SANTANA</t>
  </si>
  <si>
    <t>Asignacion del instrumento financiero a las familias ocupantes del predio que hayan superado la fase de verificacion dentro del marco del Decreto 457 de 2017. LOCALIDAD: KENNEDY; BARRIO: VEREDITAS; ID:2017-8-383887</t>
  </si>
  <si>
    <t>REAS-200</t>
  </si>
  <si>
    <t>JUAN DAVID LOPEZ PENAGOS</t>
  </si>
  <si>
    <t>Asignacion del instrumento financiero a las familias ocupantes del predio que hayan superado la fase de verificacion dentro del marco del Decreto 457 de 2017. LOCALIDAD: KENNEDY; BARRIO: VEREDITAS; ID:2017-8-383888</t>
  </si>
  <si>
    <t>REAS-201</t>
  </si>
  <si>
    <t>YERSON FABIAN LOPEZ PENAGOS</t>
  </si>
  <si>
    <t>Asignacion del instrumento financiero a las familias ocupantes del predio que hayan superado la fase de verificacion dentro del marco del Decreto 457 de 2017. LOCALIDAD: KENNEDY; BARRIO: VEREDITAS; ID:2017-8-383889</t>
  </si>
  <si>
    <t>REAS-202</t>
  </si>
  <si>
    <t>ERIC STEVE LOPEZ PENAGOS</t>
  </si>
  <si>
    <t>Asignación de VUR por nuevo avaluo comercial a fin de resolver recurso de reposición (segunda vez). Decreto 255 de 2013. LOCALIDAD: CIUDAD BOLIVAR; BARRIO: SAN RAFAEL; ID:2013-Q21-00660</t>
  </si>
  <si>
    <t>REAS-206</t>
  </si>
  <si>
    <t>JAIME  TORO VALENCIA</t>
  </si>
  <si>
    <t>Adquisición de mejoras Decreto 511 de 2010. LOCALIDAD: CIUDAD BOLIVAR; BARRIO: SANTA VIVIANA; ID:2003-19-5088</t>
  </si>
  <si>
    <t>REAS-207</t>
  </si>
  <si>
    <t>LUZ ENITH OSORIO GUTIERREZ</t>
  </si>
  <si>
    <t>Adquisición predial Decreto 511 de 2010. LOCALIDAD: USME; BARRIO: SAN JUAN DE USME; ID: 2010-5-11479</t>
  </si>
  <si>
    <t>REAS-208</t>
  </si>
  <si>
    <t>ROSALY  GONZALEZ SAENZ</t>
  </si>
  <si>
    <t>Adquisición predial Decreto 511 de 2010. LOCALIDAD: SAN CRISTOBAL; BARRIO: SAN ISIDRO II SECTOR; ID: 2011-4-13158</t>
  </si>
  <si>
    <t>REAS-209</t>
  </si>
  <si>
    <t>AMANDA  ROMERO ESPAÑA</t>
  </si>
  <si>
    <t>Adquisición predial Decreto 511 de 2010. LOCALIDAD: CIUDAD BOLIVAR; BARRIO: VILLAS DE DIAMANTE; ID: 2016-19-14924</t>
  </si>
  <si>
    <t>REAS-210</t>
  </si>
  <si>
    <t>YOLANDA  TOLEDO GONZALEZ</t>
  </si>
  <si>
    <t>Asignación del instrumento financiero a las familias ocupantes del predio que hayan superado la fase de verificación dentro del marco del Decreto 457 de 2017. LOCALIDAD: KENNEDY; BARRIO: VEREDITAS; ID: 2017-8-383894</t>
  </si>
  <si>
    <t>REAS-212</t>
  </si>
  <si>
    <t>ALFREDO  CASTELLANOS</t>
  </si>
  <si>
    <t>Asignación del instrumento financiero a las familias ocupantes del predio que hayan superado la fase de verificación dentro del marco del Decreto 457 de 2017. LOCALIDAD: KENNEDY; BARRIO: VEREDITAS; ID: 2017-8-383895</t>
  </si>
  <si>
    <t>REAS-213</t>
  </si>
  <si>
    <t>EDINSON  LOPEZ RODRIGUEZ</t>
  </si>
  <si>
    <t>Asignación del instrumento financiero a las familias ocupantes del predio que hayan superado la fase de verificación dentro del marco del Decreto 457 de 2017. LOCALIDAD: KENNEDY; BARRIO: VEREDITAS; ID: 2017-8-383896</t>
  </si>
  <si>
    <t>REAS-214</t>
  </si>
  <si>
    <t>JORGE HERNANDO DIAZ SILVA</t>
  </si>
  <si>
    <t>Asignación del instrumento financiero a las familias ocupantes del predio que hayan superado la fase de verificación dentro del marco del Decreto 457 de 2017. LOCALIDAD: KENNEDY; BARRIO: VEREDITAS; ID: 2017-8-383898</t>
  </si>
  <si>
    <t>REAS-215</t>
  </si>
  <si>
    <t>GERMAN RICARDO DIAZ SILVA</t>
  </si>
  <si>
    <t>Asignación del instrumento financiero a las familias ocupantes del predio que hayan superado la fase de verificación dentro del marco del Decreto 457 de 2017. LOCALIDAD: KENNEDY; BARRIO: VEREDITAS; ID: 2017-8-383736</t>
  </si>
  <si>
    <t>REAS-216</t>
  </si>
  <si>
    <t>NIDIA JOHANA JIMENEZ CASTELLANOS</t>
  </si>
  <si>
    <t>Asignación del instrumento financiero a las familias ocupantes del predio que hayan superado la fase de verificación dentro del marco del Decreto 457 de 2017. LOCALIDAD: KENNEDY; BARRIO: VEREDITAS; ID: 2017-8-383811</t>
  </si>
  <si>
    <t>REAS-217</t>
  </si>
  <si>
    <t>JUAN CARLOS LOPEZ RODRIGUEZ</t>
  </si>
  <si>
    <t>Asignación del instrumento financiero a las familias ocupantes del predio que hayan superado la fase de verificación dentro del marco del Decreto 457 de 2017. LOCALIDAD: KENNEDY; BARRIO: VEREDITAS; ID: 2018-8-15013</t>
  </si>
  <si>
    <t>REAS-218</t>
  </si>
  <si>
    <t>Asignación del instrumento financiero a las familias ocupantes del predio que hayan superado la fase de verificación dentro del marco del Decreto 457 de 2017. LOCALIDAD: KENNEDY; BARRIO: VEREDITAS; ID: 2018-8-15015</t>
  </si>
  <si>
    <t>REAS-219</t>
  </si>
  <si>
    <t>EDWARD ANDRES MARENTE BUSTOS</t>
  </si>
  <si>
    <t>Asignación del instrumento financiero a las familias ocupantes del predio que hayan superado la fase de verificación dentro del marco del Decreto 457 de 2017. LOCALIDAD: KENNEDY; BARRIO: VEREDITAS; ID: 2018-8-15017</t>
  </si>
  <si>
    <t>REAS-220</t>
  </si>
  <si>
    <t>ANGGIE JULIETH MARENTE BUSTOS</t>
  </si>
  <si>
    <t>Asignación del instrumento financiero a las familias ocupantes del predio que hayan superado la fase de verificación dentro del marco del Decreto 457 de 2017. LOCALIDAD: KENNEDY; BARRIO: VEREDITAS; ID: 2017-8-383837</t>
  </si>
  <si>
    <t>REAS-221</t>
  </si>
  <si>
    <t>GUILLERMO  LOPEZ SORA</t>
  </si>
  <si>
    <t>Asignación del instrumento financiero a las familias ocupantes del predio que hayan superado la fase de verificación dentro del marco del Decreto 457 de 2017. LOCALIDAD: KENNEDY; BARRIO: VEREDITAS; ID: 2017-8-383839</t>
  </si>
  <si>
    <t>REAS-222</t>
  </si>
  <si>
    <t>LIZETH PAOLA VILLA YAGUARA</t>
  </si>
  <si>
    <t>Asignación del instrumento financiero a las familias ocupantes del predio que hayan superado la fase de verificación dentro del marco del Decreto 457 de 2017. LOCALIDAD: KENNEDY; BARRIO: VEREDITAS; ID: 2017-8-383840</t>
  </si>
  <si>
    <t>REAS-223</t>
  </si>
  <si>
    <t>YOLIBIA ANGELICA YAGUARA</t>
  </si>
  <si>
    <t>Asignación del instrumento financiero a las familias ocupantes del predio que hayan superado la fase de verificación dentro del marco del Decreto 457 de 2017. LOCALIDAD: KENNEDY; BARRIO: VEREDITAS; ID: 2017-8-383691</t>
  </si>
  <si>
    <t>REAS-224</t>
  </si>
  <si>
    <t>ROSA JULIA CHITIVA PABON</t>
  </si>
  <si>
    <t>Asignación del instrumento financiero a las familias ocupantes del predio que hayan superado la fase de verificación dentro del marco del Decreto 457 de 2017. LOCALIDAD: KENNEDY; BARRIO: VEREDITAS; ID: 2017-8-383717</t>
  </si>
  <si>
    <t>REAS-225</t>
  </si>
  <si>
    <t>OLGA LUCIA MORALES RICO</t>
  </si>
  <si>
    <t>Asignación del instrumento financiero a las familias ocupantes del predio que hayan superado la fase de verificación dentro del marco del Decreto 457 de 2017. LOCALIDAD: KENNEDY; BARRIO: VEREDITAS; ID: 2017-8-383639</t>
  </si>
  <si>
    <t>REAS-226</t>
  </si>
  <si>
    <t>MARIA INES GALINDO CASTEBLANCO</t>
  </si>
  <si>
    <t>Asignación del instrumento financiero a las familias ocupantes del predio que hayan superado la fase de verificación dentro del marco del Decreto 457 de 2017. LOCALIDAD: KENNEDY; BARRIO: VEREDITAS; ID: 2017-8-383893</t>
  </si>
  <si>
    <t>REAS-227</t>
  </si>
  <si>
    <t>KAREN NATHALIA RODRIGUEZ MORALES</t>
  </si>
  <si>
    <t>Asignación del instrumento financiero a las familias ocupantes del predio que hayan superado la fase de verificación dentro del marco del Decreto 457 de 2017. LOCALIDAD: KENNEDY; BARRIO: VEREDITAS; ID: 2017-8-383696</t>
  </si>
  <si>
    <t>REAS-228</t>
  </si>
  <si>
    <t>JESICA ALEJANDRA CERON ESPINOSA</t>
  </si>
  <si>
    <t>Asignación del instrumento financiero a las familias ocupantes del predio que hayan superado la fase de verificación dentro del marco del Decreto 457 de 2017. LOCALIDAD: KENNEDY; BARRIO: VEREDITAS; ID: 2018-8-383899</t>
  </si>
  <si>
    <t>REAS-229</t>
  </si>
  <si>
    <t>ANGELICA  CARO BERMUDEZ</t>
  </si>
  <si>
    <t>Asignación del instrumento financiero a las familias ocupantes del predio que hayan superado la fase de verificación dentro del marco del Decreto 457 de 2017. LOCALIDAD: KENNEDY; BARRIO: VEREDITAS; ID: 2018-8-383901</t>
  </si>
  <si>
    <t>REAS-230</t>
  </si>
  <si>
    <t>JHON ALEXANDER OROZCO CHITIVA</t>
  </si>
  <si>
    <t>Asignación del instrumento financiero a las familias ocupantes del predio que hayan superado la fase de verificación dentro del marco del Decreto 457 de 2017. LOCALIDAD: KENNEDY; BARRIO: VEREDITAS; ID: 2018-8-383900</t>
  </si>
  <si>
    <t>REAS-231</t>
  </si>
  <si>
    <t>MARIA GLADYS OSORIO CASTRO</t>
  </si>
  <si>
    <t>Asignación del instrumento financiero a las familias ocupantes del predio que hayan superado la fase de verificación dentro del marco del Decreto 457 de 2017. LOCALIDAD: KENNEDY; BARRIO: VEREDITAS; ID: 2017-8-383848</t>
  </si>
  <si>
    <t>REAS-232</t>
  </si>
  <si>
    <t>YENNI MAYERLY GARCIA DIAZ</t>
  </si>
  <si>
    <t>Asignación del instrumento financiero a las familias ocupantes del predio que hayan superado la fase de verificación dentro del marco del Decreto 457 de 2017. LOCALIDAD: KENNEDY; BARRIO: VEREDITAS; ID: 2017-8-383671</t>
  </si>
  <si>
    <t>REAS-233</t>
  </si>
  <si>
    <t>YENNY CATERINE ALVAREZ AREVALO</t>
  </si>
  <si>
    <t>Asignación del instrumento financiero a las familias ocupantes del predio que hayan superado la fase de verificación dentro del marco del Decreto 457 de 2017. LOCALIDAD: KENNEDY; BARRIO: VEREDITAS; ID: 2017-8-383767</t>
  </si>
  <si>
    <t>REAS-234</t>
  </si>
  <si>
    <t>OMAIRA  SALCEDO ANGARITA</t>
  </si>
  <si>
    <t>Asignación del instrumento financiero a las familias ocupantes del predio que hayan superado la fase de verificación dentro del marco del Decreto 457 de 2017. LOCALIDAD: KENNEDY; BARRIO: VEREDITAS; ID: 2017-8-383655</t>
  </si>
  <si>
    <t>REAS-235</t>
  </si>
  <si>
    <t>JOSE BRANDON TELLO NARANJO</t>
  </si>
  <si>
    <t>Asignación del instrumento financiero a las familias ocupantes del predio que hayan superado la fase de verificación dentro del marco del Decreto 457 de 2017. LOCALIDAD: KENNEDY; BARRIO: VEREDITAS; ID: 2018-8-383921</t>
  </si>
  <si>
    <t>REAS-236</t>
  </si>
  <si>
    <t>MARIA ALEJANDRA ESPINOSA PASCUAS</t>
  </si>
  <si>
    <t>Asignación del instrumento financiero a las familias ocupantes del predio que hayan superado la fase de verificación dentro del marco del Decreto 457 de 2017. LOCALIDAD: KENNEDY; BARRIO: VEREDITAS; ID: 2017-8-383722</t>
  </si>
  <si>
    <t>REAS-237</t>
  </si>
  <si>
    <t>DEIVY JAIR NAVARRO SARMIENTO</t>
  </si>
  <si>
    <t>Asignación del instrumento financiero a las familias ocupantes del predio que hayan superado la fase de verificación dentro del marco del Decreto 457 de 2017. LOCALIDAD: KENNEDY; BARRIO: VEREDITAS; ID: 2017-8-383704</t>
  </si>
  <si>
    <t>REAS-238</t>
  </si>
  <si>
    <t>MARIA CLEOTILDE CARO TOVAR</t>
  </si>
  <si>
    <t>Asignación del instrumento financiero a las familias ocupantes del predio que hayan superado la fase de verificación dentro del marco del Decreto 457 de 2017. LOCALIDAD: KENNEDY; BARRIO: VEREDITAS; ID: 2018-8-383903</t>
  </si>
  <si>
    <t>REAS-239</t>
  </si>
  <si>
    <t>JAIRO  CASTRO MORA</t>
  </si>
  <si>
    <t>Asignación del instrumento financiero a las familias ocupantes del predio que hayan superado la fase de verificación dentro del marco del Decreto 457 de 2017. LOCALIDAD: KENNEDY; BARRIO: VEREDITAS; ID: 2018-8-383902</t>
  </si>
  <si>
    <t>REAS-240</t>
  </si>
  <si>
    <t>SANDRA MILENA CASTRO MORA</t>
  </si>
  <si>
    <t>Asignación del instrumento financiero a las familias ocupantes del predio que hayan superado la fase de verificación dentro del marco del Decreto 457 de 2017. LOCALIDAD: KENNEDY; BARRIO: VEREDITAS; ID: 2018-8-383904</t>
  </si>
  <si>
    <t>REAS-241</t>
  </si>
  <si>
    <t>LUZ ADRIANA GARCIA DIAZ</t>
  </si>
  <si>
    <t>Asignación del instrumento financiero a las familias ocupantes del predio que hayan superado la fase de verificación dentro del marco del Decreto 457 de 2017. LOCALIDAD: KENNEDY; BARRIO: VEREDITAS; ID: 2018-8-383916</t>
  </si>
  <si>
    <t>REAS-242</t>
  </si>
  <si>
    <t>LEYDI CAROLINA ARIZA CAMACHO</t>
  </si>
  <si>
    <t>Asignación del instrumento financiero a las familias ocupantes del predio que hayan superado la fase de verificación dentro del marco del Decreto 457 de 2017. LOCALIDAD: KENNEDY; BARRIO: VEREDITAS; ID: 2018-8-383913</t>
  </si>
  <si>
    <t>REAS-243</t>
  </si>
  <si>
    <t>JOSE MANUEL TORRES NAIZAQUE</t>
  </si>
  <si>
    <t>Asignación del instrumento financiero a las familias ocupantes del predio que hayan superado la fase de verificación dentro del marco del Decreto 457 de 2017. LOCALIDAD: KENNEDY; BARRIO: VEREDITAS; ID: 2018-8-383909</t>
  </si>
  <si>
    <t>REAS-244</t>
  </si>
  <si>
    <t>JOHAN MANUEL TORRES GALINDO</t>
  </si>
  <si>
    <t>Asignación del instrumento financiero a las familias ocupantes del predio que hayan superado la fase de verificación dentro del marco del Decreto 457 de 2017. LOCALIDAD: KENNEDY; BARRIO: VEREDITAS; ID: 2018-8-383917</t>
  </si>
  <si>
    <t>REAS-245</t>
  </si>
  <si>
    <t>MARTHA JANETH ARIZA CAMACHO</t>
  </si>
  <si>
    <t>Asignación del instrumento financiero a las familias ocupantes del predio que hayan superado la fase de verificación dentro del marco del Decreto 457 de 2017. LOCALIDAD: KENNEDY; BARRIO: VEREDITAS; ID: 2017-8-383615</t>
  </si>
  <si>
    <t>REAS-246</t>
  </si>
  <si>
    <t>EDWIN  PATIÑO LEON</t>
  </si>
  <si>
    <t>Asignación del instrumento financiero a las familias ocupantes del predio que hayan superado la fase de verificación dentro del marco del Decreto 457 de 2017. LOCALIDAD: KENNEDY; BARRIO: VEREDITAS; ID: 2017-8-383752</t>
  </si>
  <si>
    <t>REAS-247</t>
  </si>
  <si>
    <t>MARTHA EDITH VALDEZ CORTES</t>
  </si>
  <si>
    <t>Asignación del instrumento financiero a las familias ocupantes del predio que hayan superado la fase de verificación dentro del marco del Decreto 457 de 2017. LOCALIDAD: KENNEDY; BARRIO: VEREDITAS; ID: 2017-8-383789</t>
  </si>
  <si>
    <t>REAS-248</t>
  </si>
  <si>
    <t>AURORA YANETH VELASQUEZ</t>
  </si>
  <si>
    <t>Asignación del instrumento financiero a las familias ocupantes del predio que hayan superado la fase de verificación dentro del marco del Decreto 457 de 2017. LOCALIDAD: KENNEDY; BARRIO: VEREDITAS; ID: 2018-8-383915</t>
  </si>
  <si>
    <t>REAS-249</t>
  </si>
  <si>
    <t>LEIDY YOHANNA AGUILAR VELASQUEZ</t>
  </si>
  <si>
    <t>Asignación del instrumento financiero a las familias ocupantes del predio que hayan superado la fase de verificación dentro del marco del Decreto 457 de 2017. LOCALIDAD: KENNEDY; BARRIO: VEREDITAS; ID: 2018-8-383905</t>
  </si>
  <si>
    <t>REAS-250</t>
  </si>
  <si>
    <t>LUIS ALBERTO CERON ESPINOSA</t>
  </si>
  <si>
    <t>Asignación del instrumento financiero a las familias ocupantes del predio que hayan superado la fase de verificación dentro del marco del Decreto 457 de 2017. LOCALIDAD: KENNEDY; BARRIO: VEREDITAS; ID: 2017-8-383638</t>
  </si>
  <si>
    <t>REAS-251</t>
  </si>
  <si>
    <t>BEYER BENJAMIN GALINDO CASTELBLANCO</t>
  </si>
  <si>
    <t>Asignación del instrumento financiero a las familias ocupantes del predio que hayan superado la fase de verificación dentro del marco del Decreto 457 de 2017. LOCALIDAD: KENNEDY; BARRIO: VEREDITAS; ID: 2018-8-383906</t>
  </si>
  <si>
    <t>REAS-252</t>
  </si>
  <si>
    <t>BLANCA LEONOR AREVALO CAICEDO</t>
  </si>
  <si>
    <t>Asignación del instrumento financiero a las familias ocupantes del predio que hayan superado la fase de verificación dentro del marco del Decreto 457 de 2017. LOCALIDAD: KENNEDY; BARRIO: VEREDITAS; ID: 2018-8-383911</t>
  </si>
  <si>
    <t>REAS-253</t>
  </si>
  <si>
    <t>DANIEL  BARRERA MORENO</t>
  </si>
  <si>
    <t>Asignación del instrumento financiero a las familias ocupantes del predio que hayan superado la fase de verificación dentro del marco del Decreto 457 de 2017. LOCALIDAD: KENNEDY; BARRIO: VEREDITAS; ID: 2018-8-383910</t>
  </si>
  <si>
    <t>REAS-254</t>
  </si>
  <si>
    <t>CELIA MARIA AGUIRRE MUÑOZ</t>
  </si>
  <si>
    <t>Asignación del instrumento financiero a las familias ocupantes del predio que hayan superado la fase de verificación dentro del marco del Decreto 457 de 2017. LOCALIDAD: KENNEDY; BARRIO: VEREDITAS; ID: 2017-8-383612</t>
  </si>
  <si>
    <t>REAS-255</t>
  </si>
  <si>
    <t>ANYI VANESSA ARIZA CAMACHO</t>
  </si>
  <si>
    <t>Asignación del instrumento financiero a las familias ocupantes del predio que hayan superado la fase de verificación dentro del marco del Decreto 457 de 2017. LOCALIDAD: KENNEDY; BARRIO: VEREDITAS; ID: 2018-8-383914</t>
  </si>
  <si>
    <t>REAS-256</t>
  </si>
  <si>
    <t>MANUEL FERNANDO GAMBA MARTINEZ</t>
  </si>
  <si>
    <t>Asignación del instrumento financiero a las familias ocupantes del predio que hayan superado la fase de verificación dentro del marco del Decreto 457 de 2017. LOCALIDAD: KENNEDY; BARRIO: VEREDITAS; ID: 2018-8-383601</t>
  </si>
  <si>
    <t>REAS-257
 ANULADA</t>
  </si>
  <si>
    <t>Se anula la voabilidad REAS - 257, de acuerdo con memorando 2018IE2222
Se reintegran los recursos a la líena 91</t>
  </si>
  <si>
    <t>Asignación del instrumento financiero a las familias ocupantes del predio que hayan superado la fase de verificación dentro del marco del Decreto 457 de 2017. LOCALIDAD: KENNEDY; BARRIO: VEREDITAS; ID: 2018-8-383918</t>
  </si>
  <si>
    <t>REAS-258</t>
  </si>
  <si>
    <t>JEIMY ALEJANDRA RUEDA LEON</t>
  </si>
  <si>
    <t>Asignación del instrumento financiero a las familias ocupantes del predio que hayan superado la fase de verificación dentro del marco del Decreto 457 de 2017. LOCALIDAD: KENNEDY; BARRIO: VEREDITAS; ID: 2018-8-383919</t>
  </si>
  <si>
    <t>REAS-259</t>
  </si>
  <si>
    <t>IVAN RIVERA CESPEDES</t>
  </si>
  <si>
    <t>Adquisición de mejoras Decreto 511 de 2010. LOCALIDAD: CIUDAD BOLIVAR; BARRIO: PARAISO QUIBA; ID:2013-Q04-00402</t>
  </si>
  <si>
    <t>REAS-260</t>
  </si>
  <si>
    <t>LUIS ALBERTO FAJARDO</t>
  </si>
  <si>
    <t>Adquisición predial Decreto 511 de 2010. LOCALIDAD: USME; BARRIO: MOCHUELO; ID: 2013-Q09-00437</t>
  </si>
  <si>
    <t>REAS-261</t>
  </si>
  <si>
    <t>Adquisición predial Decreto 511 de 2010. LOCALIDAD: SAN CRISTOBAL; BARRIO: NUEVA GLORIA; ID: 2015-Q20-01311</t>
  </si>
  <si>
    <t>REAS-262</t>
  </si>
  <si>
    <t>MARISOL  AGREDO CLARO</t>
  </si>
  <si>
    <t>Adquisición predial Decreto 511 de 2010. LOCALIDAD: CIUDAD BOLIVAR; BARRIO: BUENOS AIRES; ID: 2014-Q06-00865</t>
  </si>
  <si>
    <t>REAS-263</t>
  </si>
  <si>
    <t>Reajuste de VUR por avalúo comercial (Segunda vez). Decreto 255 de 2013. LOCALIDAD: CIUDAD BOLIVAR; BARRIO: POTOSI; ID: 2013000474</t>
  </si>
  <si>
    <t>REAS-264</t>
  </si>
  <si>
    <t>3075-5</t>
  </si>
  <si>
    <t>Asignación del instrumento financiero a las familias ocupantes del predio que hayan superado la fase de verificación dentro del marco del Decreto 457 de 2017. LOCALIDAD: KENNEDY; BARRIO: VEREDITAS; ID: 2018-8-383925</t>
  </si>
  <si>
    <t>REAS-265</t>
  </si>
  <si>
    <t>CAROLINA  RAMIREZ PEÑA</t>
  </si>
  <si>
    <t>Asignación del instrumento financiero a las familias ocupantes del predio que hayan superado la fase de verificación dentro del marco del Decreto 457 de 2017. LOCALIDAD: KENNEDY; BARRIO: VEREDITAS; ID: 2017-8-383758</t>
  </si>
  <si>
    <t>REAS-266</t>
  </si>
  <si>
    <t>ANGELICA MARIA MONSALVE MALAGON</t>
  </si>
  <si>
    <t>Asignación del instrumento financiero a las familias ocupantes del predio que hayan superado la fase de verificación dentro del marco del Decreto 457 de 2017. LOCALIDAD: KENNEDY; BARRIO: VEREDITAS; ID: 2018-8-383912</t>
  </si>
  <si>
    <t>REAS-267</t>
  </si>
  <si>
    <t>JOSE DAVID RODRIGUEZ VALDES</t>
  </si>
  <si>
    <t>Asignación del instrumento financiero a las familias ocupantes del predio que hayan superado la fase de verificación dentro del marco del Decreto 457 de 2017. LOCALIDAD: KENNEDY; BARRIO: VEREDITAS; ID: 2018-8-383920</t>
  </si>
  <si>
    <t>REAS-268</t>
  </si>
  <si>
    <t>VICTOR LEONARDO CERON ESPINOSA</t>
  </si>
  <si>
    <t>Asignación del instrumento financiero a las familias ocupantes del predio que hayan superado la fase de verificación dentro del marco del Decreto 457 de 2017. LOCALIDAD: KENNEDY; BARRIO: VEREDITAS; ID: 2018-8-383924</t>
  </si>
  <si>
    <t>REAS-269</t>
  </si>
  <si>
    <t>NIKOL KAROLAY RUIZ SANCHEZ</t>
  </si>
  <si>
    <t>Asignación del instrumento financiero a las familias ocupantes del predio que hayan superado la fase de verificación dentro del marco del Decreto 457 de 2017. LOCALIDAD: KENNEDY; BARRIO: VEREDITAS; ID: 2017-8-383607</t>
  </si>
  <si>
    <t>REAS-270</t>
  </si>
  <si>
    <t>RUBIELA  LEON OBANDO</t>
  </si>
  <si>
    <t>Asignación del instrumento financiero a las familias ocupantes del predio que hayan superado la fase de verificación dentro del marco del Decreto 457 de 2017. LOCALIDAD: KENNEDY; BARRIO: VEREDITAS; ID: 2018-8-383930</t>
  </si>
  <si>
    <t>REAS-271</t>
  </si>
  <si>
    <t>LUISA FERNANDA MAHECHA MORENO</t>
  </si>
  <si>
    <t>Asignación del instrumento financiero a las familias ocupantes del predio que hayan superado la fase de verificación dentro del marco del Decreto 457 de 2017. LOCALIDAD: KENNEDY; BARRIO: VEREDITAS; ID: 2018-8-383927</t>
  </si>
  <si>
    <t>REAS-272</t>
  </si>
  <si>
    <t>WILLIAM  GALINDO CASTEBLANCO</t>
  </si>
  <si>
    <t>Asignación del instrumento financiero a las familias ocupantes del predio que hayan superado la fase de verificación dentro del marco del Decreto 457 de 2017. LOCALIDAD: KENNEDY; BARRIO: VEREDITAS; ID: 2018-8-383926</t>
  </si>
  <si>
    <t>REAS-273</t>
  </si>
  <si>
    <t>SARA  VASQUEZ CARDONA</t>
  </si>
  <si>
    <t>01 - Construcción, adecuación y ampliación de infraestructura propia del sector</t>
  </si>
  <si>
    <t>0529 - Sentencias Judiciales</t>
  </si>
  <si>
    <t>Providencia ordena pagar gastos de auxiliar de justicia en el marco de la Acción Popular No. 2016-00177 enero de 2018</t>
  </si>
  <si>
    <t>REAS-274</t>
  </si>
  <si>
    <t>3075-10</t>
  </si>
  <si>
    <t>DIEGO EDWIN PULIDO MOLANO</t>
  </si>
  <si>
    <t>Asignación del instrumento financiero a las familias ocupantes del predio que hayan superado la fase de verificación dentro del marco del Decreto 457 de 2017. LOCALIDAD: KENNEDY; BARRIO: VEREDITAS; ID: 2018-8-383929</t>
  </si>
  <si>
    <t>REAS-275</t>
  </si>
  <si>
    <t>Asignación del instrumento financiero a las familias ocupantes del predio que hayan superado la fase de verificación dentro del marco del Decreto 457 de 2017. LOCALIDAD: KENNEDY; BARRIO: VEREDITAS; ID: 2018-8-383928</t>
  </si>
  <si>
    <t>REAS-276</t>
  </si>
  <si>
    <t>PAULA ANDREA LONDOÑO LEON</t>
  </si>
  <si>
    <t>Asignación del instrumento financiero a las familias ocupantes del predio que hayan superado la fase de verificación dentro del marco del Decreto 457 de 2017. LOCALIDAD: KENNEDY; BARRIO: VEREDITAS; ID: 2017-8-383781</t>
  </si>
  <si>
    <t>REAS-277</t>
  </si>
  <si>
    <t>VUR de la actual vigencia. Decreto 255 de 2013. LOCALIDAD: CHAPINERO; BARRIO: SAN LUIS ALTOS DEL CABO; ID: 2009-2-11209</t>
  </si>
  <si>
    <t>REAS-278</t>
  </si>
  <si>
    <t>Asignación del instrumento financiero a las familias ocupantes del predio que hayan superado la fase de verificación dentro del marco del Decreto 457 de 2017. LOCALIDAD: KENNEDY; BARRIO: VEREDITAS; ID: 2018-8-15223</t>
  </si>
  <si>
    <t>REAS-279</t>
  </si>
  <si>
    <t>CAROLAING  JOYA CUELLAR</t>
  </si>
  <si>
    <t>Asignación del instrumento financiero a las familias ocupantes del predio que hayan superado la fase de verificación dentro del marco del Decreto 457 de 2017. LOCALIDAD: KENNEDY; BARRIO: VEREDITAS; ID: 2017-8-383-732</t>
  </si>
  <si>
    <t>REAS-280</t>
  </si>
  <si>
    <t>OMAR MANUEL AGAMEZ RIVAS</t>
  </si>
  <si>
    <t>Asignación del instrumento financiero a las familias ocupantes del predio que hayan superado la fase de verificación dentro del marco del Decreto 457 de 2017. LOCALIDAD: KENNEDY; BARRIO: VEREDITAS; ID: 2017-8-383765</t>
  </si>
  <si>
    <t>REAS-281</t>
  </si>
  <si>
    <t>MARIA PATRICIA FLOREZ HERNANDEZ</t>
  </si>
  <si>
    <t>Asignación del instrumento financiero a las familias ocupantes del predio que hayan superado la fase de verificación dentro del marco del Decreto 457 de 2017. LOCALIDAD: KENNEDY; BARRIO: VEREDITAS; ID: 2018-8-15224</t>
  </si>
  <si>
    <t>REAS-282</t>
  </si>
  <si>
    <t>FREDY ALEXANDER NAVARRO SARMIENTO</t>
  </si>
  <si>
    <t>REAS-283</t>
  </si>
  <si>
    <t>3075-9</t>
  </si>
  <si>
    <t>Asignacion del instrumento financiero a las familias ocupantes del predio que hayan superado la fase de verificacion dentro del marco del Decreto 457 de 2017. LOCALIDAD: KENNEDY; BARRIO: VEREDITAS; ID: 2017-8-383601</t>
  </si>
  <si>
    <t>REAS-284</t>
  </si>
  <si>
    <t>ANA MARIA GOMEZ RAMIREZ</t>
  </si>
  <si>
    <t>Asignacion del instrumento financiero a las familias ocupantes del predio que hayan superado la fase de verificacion dentro del marco del Decreto 457 de 2017. LOCALIDAD: KENNEDY; BARRIO: VEREDITAS; ID: 2018-8-15299</t>
  </si>
  <si>
    <t>REAS-285</t>
  </si>
  <si>
    <t>WILMERS DAVID RICO SILVA</t>
  </si>
  <si>
    <t>Asignacion del instrumento financiero a las familias ocupantes del predio que hayan superado la fase de verificacion dentro del marco del Decreto 457 de 2017. LOCALIDAD: KENNEDY; BARRIO: VEREDITAS; ID: 2017-8-383787</t>
  </si>
  <si>
    <t>REAS-286</t>
  </si>
  <si>
    <t>CARLOS ARTURO RICO GUTIERREZ</t>
  </si>
  <si>
    <t>Asignacion del instrumento financiero a las familias ocupantes del predio que hayan superado la fase de verificacion dentro del marco del Decreto 457 de 2017. LOCALIDAD: KENNEDY; BARRIO: VEREDITAS; ID: 2018-8-384266</t>
  </si>
  <si>
    <t>REAS-287</t>
  </si>
  <si>
    <t>HERNANDO  GOMEZ AMAYA</t>
  </si>
  <si>
    <t>Asignacion del instrumento financiero a las familias ocupantes del predio que hayan superado la fase de verificacion dentro del marco del Decreto 457 de 2017. LOCALIDAD: KENNEDY; BARRIO: VEREDITAS; ID: 2018-8-384268</t>
  </si>
  <si>
    <t>REAS-288</t>
  </si>
  <si>
    <t>ALISON DANIELA MUÑOZ REYES</t>
  </si>
  <si>
    <t>Asignacion del instrumento financiero a las familias ocupantes del predio que hayan superado la fase de verificacion dentro del marco del Decreto 457 de 2017. LOCALIDAD: KENNEDY; BARRIO: VEREDITAS; ID: 2017-8-383676</t>
  </si>
  <si>
    <t>REAS-289</t>
  </si>
  <si>
    <t>JHONATAN HARLEY PINZON AVILA</t>
  </si>
  <si>
    <t>Asignacion del instrumento financiero a las familias ocupantes del predio que hayan superado la fase de verificacion dentro del marco del Decreto 457 de 2017. LOCALIDAD: KENNEDY; BARRIO: VEREDITAS; ID: 2017-8-383614</t>
  </si>
  <si>
    <t>REAS-290</t>
  </si>
  <si>
    <t>CARLOS JULIO LEON OBANDO</t>
  </si>
  <si>
    <t>Prórroga y Adición al Contrato 561 de 2017 cuyo obejto es: Prestación de servicios profesionales para el acompañamiento jurídico en las actuaciones propias que requiera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</si>
  <si>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REAS-292</t>
  </si>
  <si>
    <t>01 Creación de la Linea</t>
  </si>
  <si>
    <t>VUR de la actual vigencia. Decreto 255 de 2013. LOCALIDAD: CIUDAD BOLIVAR; BARRIO: POTOSI; ID:2015-Q18-04422</t>
  </si>
  <si>
    <t>REAS-293</t>
  </si>
  <si>
    <t>VUR de la actual vigencia. Decreto 255 de 2013. LOCALIDAD: CIUDAD BOLIVAR; BARRIO: SAUCES HORTALIZAS (HORTALIZAS); ID:2012-19-14175</t>
  </si>
  <si>
    <t>REAS-294</t>
  </si>
  <si>
    <t>CARMEN NANCY RINCON DE BORDA</t>
  </si>
  <si>
    <t>Reajuste de VUR para completar el cierre financiero de la vivienda de reposición escogida por el beneficiario en el proyecto Torres de San Miguel. LOCALIDAD: CIUDAD BOLIVAR; BARRIO: MIRADOR DE LA ESTANCIA I; ID:2012-ALES-231</t>
  </si>
  <si>
    <t>REAS-295</t>
  </si>
  <si>
    <t>Asignacion del instrumento financiero a las familias ocupantes del predio que hayan superado la fase de verificacion dentro del marco del Decreto 457 de 2017. LOCALIDAD: KENNEDY; BARRIO: VEREDITAS; ID: 2017-8-383653</t>
  </si>
  <si>
    <t>REAS-296</t>
  </si>
  <si>
    <t>Asignacion del instrumento financiero a las familias ocupantes del predio que hayan superado la fase de verificacion dentro del marco del Decreto 457 de 2017. LOCALIDAD: KENNEDY; BARRIO: VEREDITAS; ID: 2017-8-383771</t>
  </si>
  <si>
    <t>REAS-297</t>
  </si>
  <si>
    <t>LOURDES CELINA NAVAS</t>
  </si>
  <si>
    <t>Asignacion del instrumento financiero a las familias ocupantes del predio que hayan superado la fase de verificacion dentro del marco del Decreto 457 de 2017. LOCALIDAD: KENNEDY; BARRIO: VEREDITAS; ID: 2017-8-383763</t>
  </si>
  <si>
    <t>REAS-298</t>
  </si>
  <si>
    <t>JOSE BASILICO GONZALEZ MURCIA</t>
  </si>
  <si>
    <t>Adquisición predial por Decreto 511 de 2010. LOCALIDAD: SAN CRISTOBAL; BARRIO: MONTEBELLO; ID:2010-4-11874</t>
  </si>
  <si>
    <t>REAS-379</t>
  </si>
  <si>
    <t>3075-4
3075-332</t>
  </si>
  <si>
    <t>REPROGRAMACION (Proyección de Ejecución Febrero 2018)</t>
  </si>
  <si>
    <t>SIN PROYECCION (Ejecucion sujeta a la expedicion del decreto de actualizacion de VUR</t>
  </si>
  <si>
    <t>VUR de la actual vigencia. La asignación se realiza para dar cumplimiento al fallo de acción popular 2002-00152-Suba Gavilanes. Decreto 255 de 2013. LOCALIDAD: SUBA (GAVILANES); BARRIO: BILBAO; ID: 2018-11-15152</t>
  </si>
  <si>
    <t>REAS-387</t>
  </si>
  <si>
    <t>3075-6</t>
  </si>
  <si>
    <t>OF. 6200 - MAYO 4/19</t>
  </si>
  <si>
    <t xml:space="preserve"> MAYO 3/18</t>
  </si>
  <si>
    <t>OF. 6201 - MAYO 4/18</t>
  </si>
  <si>
    <t>OCTUBRE</t>
  </si>
  <si>
    <t>NOVIEMBRE</t>
  </si>
  <si>
    <t>3075-8</t>
  </si>
  <si>
    <t>JUNIO ($464.703.743)
 JULIO ($79.055.660)
 AGOSTO ($83.251.860)
 SEPTIEMBRE ($76.952.300)
 OCTUBRE ($58.435.908)
 NOVIEMBRE( $84.433.782)</t>
  </si>
  <si>
    <t>SIN PROYECCION (Ejecucion sujeta a la entrega de viviendas)</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</si>
  <si>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</si>
  <si>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SIN PROYECCION (Ejecucion sujeta a la ubicación de la vivienda de reposicion seleccionada por las familias</t>
  </si>
  <si>
    <t>REDUCCION PRESUPUESTAL</t>
  </si>
  <si>
    <t>REAS-299</t>
  </si>
  <si>
    <t>3075-347</t>
  </si>
  <si>
    <t>681
 ANULADO</t>
  </si>
  <si>
    <t>REDUCCION PRESUPUESTAL (Decreto 259 del 30 de abril de 2018 )</t>
  </si>
  <si>
    <t>REDUCCION PRESUPUESTAL (Circular 002 de 27 de febrero de 2018 - Mayor % en reservas presupuestales 2017)</t>
  </si>
  <si>
    <t>Prórroga y adición al contrato No. 541 de 2017 cuyo objeto es: "Prestación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</si>
  <si>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REAS-300</t>
  </si>
  <si>
    <t>Prórroga y adición al contrato No. 534 de 2017 cuyo objeto es: "Prestación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</si>
  <si>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REAS-301</t>
  </si>
  <si>
    <t>Asignacion del instrumento financiero a las familias ocupantes del predio que hayan superado la fase de verificacion dentro del marco del Decreto 457 de 2017. LOCALIDAD: KENNEDY; BARRIO: VEREDITAS; ID: 2018-8-384292</t>
  </si>
  <si>
    <t>REAS-302</t>
  </si>
  <si>
    <t>Asignacion del instrumento financiero a las familias ocupantes del predio que hayan superado la fase de verificacion dentro del marco del Decreto 457 de 2017. LOCALIDAD: KENNEDY; BARRIO: VEREDITAS; ID: 2018-8-384287</t>
  </si>
  <si>
    <t>REAS-303</t>
  </si>
  <si>
    <t>RENZO MANUEL BUITRAGO NAVAS</t>
  </si>
  <si>
    <t>Prórroga y adición al contrato No. 537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</si>
  <si>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REAS-304</t>
  </si>
  <si>
    <t>Prórroga y adición al contrato No. 540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</si>
  <si>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REAS-305</t>
  </si>
  <si>
    <t>Prórroga y adición al contrato No. 552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</si>
  <si>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REAS-306</t>
  </si>
  <si>
    <t>Prórroga y adición al contrato No. 542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</si>
  <si>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REAS-307</t>
  </si>
  <si>
    <t>Prórroga y adición al contrato No. 554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</si>
  <si>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REAS-308</t>
  </si>
  <si>
    <t>Prórroga y adición al contrato No. 543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</si>
  <si>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REAS-309</t>
  </si>
  <si>
    <t>Prórroga y adición al contrato No. 549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</si>
  <si>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REAS-310</t>
  </si>
  <si>
    <t>Prórroga y adición al contrato No. 544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</si>
  <si>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REAS-311</t>
  </si>
  <si>
    <t>Prórroga y adición al contrato No. 546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</si>
  <si>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REAS-312</t>
  </si>
  <si>
    <t>Asignacion del instrumento financiero a las familias ocupantes del predio que hayan superado la fase de verificacion dentro del marco del Decreto 457 de 2017. LOCALIDAD: KENNEDY; BARRIO: VEREDITAS; ID: 2017-8-383670</t>
  </si>
  <si>
    <t>REAS-313</t>
  </si>
  <si>
    <t>JONATHAN ALEJANDRO BRAVO CHAVARRIO</t>
  </si>
  <si>
    <t>TRASLADO PARA PAGO DE PASIVOS EXIGIBLES</t>
  </si>
  <si>
    <t>REAS-314
 ANULADA</t>
  </si>
  <si>
    <t>Traslado para tramitar el pago de pasivos exigibles</t>
  </si>
  <si>
    <t>REAS-315
 ANULADA</t>
  </si>
  <si>
    <t>Asignacion del instrumento financiero a las familias ocupantes del predio que hayan superado la fase de verificacion dentro del marco del Decreto 457 de 2017. LOCALIDAD: KENNEDY; BARRIO: VEREDITAS; ID: 2018-08-15298</t>
  </si>
  <si>
    <t>REAS-316</t>
  </si>
  <si>
    <t>LORENA  CORTES VILLANUEVA</t>
  </si>
  <si>
    <t xml:space="preserve">Asignacion del instrumento financiero a las familias ocupantes del predio que hayan superado la fase de verificacion dentro del marco del Decreto 457 de 2017. </t>
  </si>
  <si>
    <t>Prórroga y adición al contrato No. 551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</si>
  <si>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REAS-318</t>
  </si>
  <si>
    <t>Prórroga y adición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</si>
  <si>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REAS-319</t>
  </si>
  <si>
    <t>Prórroga y adición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</si>
  <si>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REAS-320</t>
  </si>
  <si>
    <t>Prórroga y adición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</si>
  <si>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REAS-321</t>
  </si>
  <si>
    <t>Asignacion del instrumento financiero a las familias ocupantes del predio que hayan superado la fase de verificacion dentro del marco del Decreto 457 de 2017. LOCALIDAD: KENNEDY; BARRIO: VEREDITAS; ID: 2017-8-383744</t>
  </si>
  <si>
    <t>REAS-323</t>
  </si>
  <si>
    <t>Asignacion del instrumento financiero a las familias ocupantes del predio que hayan superado la fase de verificacion dentro del marco del Decreto 457 de 2017. LOCALIDAD: KENNEDY; BARRIO: VEREDITAS; ID: 2018-08-384303</t>
  </si>
  <si>
    <t>REAS-324</t>
  </si>
  <si>
    <t>NINI JOHANNA OLIVEROS LIZCANO</t>
  </si>
  <si>
    <t>Asignacion del instrumento financiero a las familias ocupantes del predio que hayan superado la fase de verificacion dentro del marco del Decreto 457 de 2017. LOCALIDAD: KENNEDY; BARRIO: VEREDITAS; ID: 2018-08-384302</t>
  </si>
  <si>
    <t>REAS-325</t>
  </si>
  <si>
    <t>YENIFER VALENTINA JAIMES AGUILAR</t>
  </si>
  <si>
    <t>Asignacion del instrumento financiero a las familias ocupantes del predio que hayan superado la fase de verificacion dentro del marco del Decreto 457 de 2017. LOCALIDAD: KENNEDY; BARRIO: VEREDITAS; ID: 2017-8-383678</t>
  </si>
  <si>
    <t>REAS-326</t>
  </si>
  <si>
    <t>FERNANDO  REYES LOZANO</t>
  </si>
  <si>
    <t>Asignacion del instrumento financiero a las familias ocupantes del predio que hayan superado la fase de verificacion dentro del marco del Decreto 457 de 2017. LOCALIDAD: KENNEDY; BARRIO: VEREDITAS; ID: 2018-08-384309</t>
  </si>
  <si>
    <t>REAS-327</t>
  </si>
  <si>
    <t>LUZ AIDEE CALDERÓN ORTIZ</t>
  </si>
  <si>
    <t>Asignacion del instrumento financiero a las familias ocupantes del predio que hayan superado la fase de verificacion dentro del marco del Decreto 457 de 2017. LOCALIDAD: KENNEDY; BARRIO: VEREDITAS; ID: 2017-8-383654</t>
  </si>
  <si>
    <t>REAS-328</t>
  </si>
  <si>
    <t>MARIA DEL PILAR CORTES HERNANDEZ</t>
  </si>
  <si>
    <t>Asignacion del instrumento financiero a las familias ocupantes del predio que hayan superado la fase de verificacion dentro del marco del Decreto 457 de 2017. LOCALIDAD: KENNEDY; BARRIO: VEREDITAS; ID: 2017-8-383680</t>
  </si>
  <si>
    <t>REAS-329</t>
  </si>
  <si>
    <t>Asignacion del instrumento financiero a las familias ocupantes del predio que hayan superado la fase de verificacion dentro del marco del Decreto 457 de 2017. LOCALIDAD: KENNEDY; BARRIO: VEREDITAS; ID: 2018-8-384293</t>
  </si>
  <si>
    <t>REAS-330</t>
  </si>
  <si>
    <t>NESTOR FABIO CASTAÑO GALVIS</t>
  </si>
  <si>
    <t>Asignacion del instrumento financiero a las familias ocupantes del predio que hayan superado la fase de verificacion dentro del marco del Decreto 457 de 2017. LOCALIDAD: KENNEDY; BARRIO: VEREDITAS; ID: 2017-08-384315</t>
  </si>
  <si>
    <t>REAS-331
 ANULADA</t>
  </si>
  <si>
    <t>746
 ANULADO</t>
  </si>
  <si>
    <t>Se anula la voabilidad REAS -331, con memorando 2018IE4013
Se reintegran los recursos a la líena 91</t>
  </si>
  <si>
    <t>Asignacion del instrumento financiero a las familias ocupantes del predio que hayan superado la fase de verificacion dentro del marco del Decreto 457 de 2017. LOCALIDAD: KENNEDY; BARRIO: VEREDITAS; ID: 2017-8-383790</t>
  </si>
  <si>
    <t>REAS-332</t>
  </si>
  <si>
    <t>JORGE REINEL LESMES</t>
  </si>
  <si>
    <t>Asignacion del instrumento financiero a las familias ocupantes del predio que hayan superado la fase de verificacion dentro del marco del Decreto 457 de 2017. LOCALIDAD: KENNEDY; BARRIO: VEREDITAS; ID: 2017-08-384319</t>
  </si>
  <si>
    <t>REAS-333
 ANULADA</t>
  </si>
  <si>
    <t>730
 ANULADO</t>
  </si>
  <si>
    <t>Se anula la viabilidad REAS - 333, con memorando 2018IE2222
Se reintegran los recursos a la líena 91</t>
  </si>
  <si>
    <t>Asignacion del instrumento financiero a las familias ocupantes del predio que hayan superado la fase de verificacion dentro del marco del Decreto 457 de 2017. LOCALIDAD: KENNEDY; BARRIO: VEREDITAS; ID: 2018-8-384304</t>
  </si>
  <si>
    <t>REAS-334</t>
  </si>
  <si>
    <t>ANGELICA PATRICIA VELASQUEZ</t>
  </si>
  <si>
    <t>Asignacion del instrumento financiero a las familias ocupantes del predio que hayan superado la fase de verificacion dentro del marco del Decreto 457 de 2017. LOCALIDAD: KENNEDY; BARRIO: VEREDITAS; ID: 2018-8-384305</t>
  </si>
  <si>
    <t>REAS-335</t>
  </si>
  <si>
    <t>MISAEL  MARTIN</t>
  </si>
  <si>
    <t>Asignacion del instrumento financiero a las familias ocupantes del predio que hayan superado la fase de verificacion dentro del marco del Decreto 457 de 2017. LOCALIDAD: KENNEDY; BARRIO: VEREDITAS; ID: 2018-8-384306</t>
  </si>
  <si>
    <t>REAS-336</t>
  </si>
  <si>
    <t>OSCAR HERNAN AGUILAR VARELA</t>
  </si>
  <si>
    <t>Asignacion del instrumento financiero a las familias ocupantes del predio que hayan superado la fase de verificacion dentro del marco del Decreto 457 de 2017. LOCALIDAD: KENNEDY; BARRIO: VEREDITAS; ID: 2018-8-384307</t>
  </si>
  <si>
    <t>REAS-337</t>
  </si>
  <si>
    <t>LAURA CAMILA ESCOBAR QUINTERO</t>
  </si>
  <si>
    <t>Asignacion del instrumento financiero a las familias ocupantes del predio que hayan superado la fase de verificacion dentro del marco del Decreto 457 de 2017. LOCALIDAD: KENNEDY; BARRIO: VEREDITAS; ID: 2018-8-384311</t>
  </si>
  <si>
    <t>REAS-338</t>
  </si>
  <si>
    <t>MAUREN  SIERRA FONSECA</t>
  </si>
  <si>
    <t>Asignacion del instrumento financiero a las familias ocupantes del predio que hayan superado la fase de verificacion dentro del marco del Decreto 457 de 2017. LOCALIDAD: KENNEDY; BARRIO: VEREDITAS; ID: 2018-8-384313</t>
  </si>
  <si>
    <t>REAS-339</t>
  </si>
  <si>
    <t>JESSICA LIZBETH PUENTES TELLEZ</t>
  </si>
  <si>
    <t>Asignacion del instrumento financiero a las familias ocupantes del predio que hayan superado la fase de verificacion dentro del marco del Decreto 457 de 2017. LOCALIDAD: KENNEDY; BARRIO: VEREDITAS; ID: 2018-8-384310</t>
  </si>
  <si>
    <t>REAS-340</t>
  </si>
  <si>
    <t>OMAR  FRANCO MOLINA</t>
  </si>
  <si>
    <t>Asignacion del instrumento financiero a las familias ocupantes del predio que hayan superado la fase de verificacion dentro del marco del Decreto 457 de 2017. LOCALIDAD: KENNEDY; BARRIO: VEREDITAS; ID: 2018-8-384312</t>
  </si>
  <si>
    <t>REAS-341</t>
  </si>
  <si>
    <t>JANETH  GOMEZ TRIANA</t>
  </si>
  <si>
    <t>Asignacion del instrumento financiero a las familias ocupantes del predio que hayan superado la fase de verificacion dentro del marco del Decreto 457 de 2017. LOCALIDAD: KENNEDY; BARRIO: VEREDITAS; ID: 2018-8-384314</t>
  </si>
  <si>
    <t>REAS-342</t>
  </si>
  <si>
    <t>CARLOS ARTURO TAPIERO RUIZ</t>
  </si>
  <si>
    <t>VUR de la actual vigencia. Decreto 255 de 2013. LOCALIDAD: CIUDAD BOLIVAR; BARRIO: EL MOCHUELO IV; ID: 2016-19-00024</t>
  </si>
  <si>
    <t>REAS-343</t>
  </si>
  <si>
    <t>JOSE PARMENIO LOPEZ</t>
  </si>
  <si>
    <t>VUR de la actual vigencia. Decreto 255 de 2013. LOCALIDAD: CIUDAD BOLIVAR; BARRIO: ESTRELLA DEL SUR; ID: 2014-Q05-00840</t>
  </si>
  <si>
    <t>REAS-344</t>
  </si>
  <si>
    <t>WILLIAM  VIUCHE CUPITRA</t>
  </si>
  <si>
    <t>VUR de la actual vigencia. Decreto 255 de 2013. LOCALIDAD: CIUDAD BOLIVAR; BARRIO: CARACOLI; ID: 2013-Q18-00383</t>
  </si>
  <si>
    <t>REAS-345</t>
  </si>
  <si>
    <t>REAS-382</t>
  </si>
  <si>
    <t>3075-4
 3075-333</t>
  </si>
  <si>
    <t>SE ANULA LA VIABILIDAD REAS - 346 (CORDIS 2018IE5467) Y CDP 742.
SE INCREMENTA EL VALOR DE LA VIABLIDAD</t>
  </si>
  <si>
    <t>REAS-383</t>
  </si>
  <si>
    <t>SE ANULA LA VIABILIDAD REAS - 347 ((CORDIS 2018IE5467) Y CDP 741
SE DISMINUYE EL VALOR DE LA VIABLIDAD</t>
  </si>
  <si>
    <t>Valor excedente de providencia ordena pagar gastos de auxiliar de justificia en el marco de la Acción Popular No. 2016-00177 enero de 2018</t>
  </si>
  <si>
    <t>REAS-348</t>
  </si>
  <si>
    <t>3075-364</t>
  </si>
  <si>
    <t>Conforme a lo establecido en el autos de fecha 15 de enero  y  6 de marzo de 2016 se debe cancelar el valor de honorarios definido por el Juzgado 52 administrativo del circuito de Bogotá</t>
  </si>
  <si>
    <t>Asignacion del instrumento financiero a las familias ocupantes del predio que hayan superado la fase de verificacion dentro del marco del Decreto 457 de 2017. LOCALIDAD: KENNEDY; BARRIO: VEREDITAS; ID: 2018-08-384353</t>
  </si>
  <si>
    <t>REAS-349</t>
  </si>
  <si>
    <t>JOSE ARMANDO PAIBA</t>
  </si>
  <si>
    <t>1503/2018</t>
  </si>
  <si>
    <t>Asignacion del instrumento financiero a las familias ocupantes del predio que hayan superado la fase de verificacion dentro del marco del Decreto 457 de 2017. LOCALIDAD: KENNEDY; BARRIO: VEREDITAS; ID: 2018-08-384354</t>
  </si>
  <si>
    <t>REAS-350</t>
  </si>
  <si>
    <t>ANGELICA ANDREA CORTES</t>
  </si>
  <si>
    <t>Asignacion del instrumento financiero a las familias ocupantes del predio que hayan superado la fase de verificacion dentro del marco del Decreto 457 de 2017. LOCALIDAD: KENNEDY; BARRIO: VEREDITAS; ID: 2018-08-384320</t>
  </si>
  <si>
    <t>REAS-351</t>
  </si>
  <si>
    <t>JULIO  ROMERO</t>
  </si>
  <si>
    <t>Asignacion del instrumento financiero a las familias ocupantes del predio que hayan superado la fase de verificacion dentro del marco del Decreto 457 de 2017. LOCALIDAD: KENNEDY; BARRIO: VEREDITAS; ID: 2017-8-383720</t>
  </si>
  <si>
    <t>REAS-353</t>
  </si>
  <si>
    <t>MARISOL  HERNANDEZ PEREA</t>
  </si>
  <si>
    <t>REAS-354</t>
  </si>
  <si>
    <t>REAS-355</t>
  </si>
  <si>
    <t>Asignacion del instrumento financiero a las familias ocupantes del predio que hayan superado la fase de verificacion dentro del marco del Decreto 457 de 2017. LOCALIDAD: KENNEDY; BARRIO: VEREDITAS; ID: 2018-08-384315</t>
  </si>
  <si>
    <t>REAS-356</t>
  </si>
  <si>
    <t>JHON FREDY PINZON GOMEZ</t>
  </si>
  <si>
    <t>MEMORANDO 4012</t>
  </si>
  <si>
    <t>Asignacion del instrumento financiero a las familias ocupantes del predio que hayan superado la fase de verificacion dentro del marco del Decreto 457 de 2017. LOCALIDAD: KENNEDY; BARRIO: VEREDITAS; ID: 2018-08-384319</t>
  </si>
  <si>
    <t>REAS-357</t>
  </si>
  <si>
    <t>VUR de conformidad con el avalúo comercial (Asignación Primera Vez). Decreto 255 de 2013. LOCALIDAD; RAFAEL URIBE URIBE; BARRIO: GRANJAS DE SAN PABLO; ID: 2006-18-8886</t>
  </si>
  <si>
    <t>REAS-358</t>
  </si>
  <si>
    <t>VUR de la actual vigencia (Asignación primera vez). Decreto 255 de 2013. LOCALIDAD: CIUDAD BOLIVAR; BARRIO: PARAISO QUIBA; ID:2014-Q21-00711</t>
  </si>
  <si>
    <t>REAS-359</t>
  </si>
  <si>
    <t>Excedente de VUR por avalúo comercial. Decreto 255 de 2013. LOCALIDAD: SAN CRISTOBAL; BARRIO:QUINDIO; ID:2015-Q20-01326</t>
  </si>
  <si>
    <t>REAS-360</t>
  </si>
  <si>
    <t>Adquisición de mejoras por Decreto 511 de 2010. LOCALIDAD: CIUDAD BOLIVAR; BARRIO: PARAISO QUIBA; ID: 2015-Q04-03691</t>
  </si>
  <si>
    <t>REAS-361</t>
  </si>
  <si>
    <t>3075-332</t>
  </si>
  <si>
    <t>VUR de la actual vigencia. Decreto 255 de 2013. LOCALIDAD: CIUDAD BOLIVAR; BARRIO: EL MOCHUELO II NORTE; ID: 2015-Q09-03262</t>
  </si>
  <si>
    <t>REAS-363</t>
  </si>
  <si>
    <t>VUR de la actual vigencia. Decreto 255 de 2013. LOCALIDAD: USME; BARRIO: ARRAYANES V; ID:2016-Q05-00003</t>
  </si>
  <si>
    <t>REAS-364</t>
  </si>
  <si>
    <t>Excedente de VUR por avalúo comercial. Decreto 255 de 2013. LOCALIDAD: SAN CRISTOBAL; BARRIO:LOS LIBERTADORES; ID:2013-Q18-00106</t>
  </si>
  <si>
    <t>REAS-365</t>
  </si>
  <si>
    <t>Adquisición de mejoras por Decreto 511 de 2010. LOCALIDAD: CIUDAD BOLIVAR; BARRIO: ESPINO III; ID: 2012-ALES-198</t>
  </si>
  <si>
    <t>REAS-366</t>
  </si>
  <si>
    <t>Adquisición predial por Decreto 511 de 2010. LOCALIDAD: SAN CRISTOBAL;VILLA DEL CERRO; ID: 2015-Q20-01356</t>
  </si>
  <si>
    <t>REAS-367</t>
  </si>
  <si>
    <t>Adquisición de mejoras por Decreto 511 de 2010. LOCALIDAD: SAN CRISTOBAL;VILLA DEL CERRO; ID: 2015-Q20-01356</t>
  </si>
  <si>
    <t>Adquisición de mejoras por Decreto 511 de 2010. LOCALIDAD: SANTA FE; BARRIO: SAN FRANCISCO RURAL; ID: 2015-Q24-01531</t>
  </si>
  <si>
    <t>REAS-368</t>
  </si>
  <si>
    <t>VUR de la actual vigencia. Decreto 255 de 2013. LOCALIDAD: USAQUEN; BARRIO: EL CODITO V; ID:2007-1-10589</t>
  </si>
  <si>
    <t>REAS-369</t>
  </si>
  <si>
    <t>Adquisición de mejoras por Decreto 511 de 2010. LOCALIDAD: CIUDAD BOLIVAR; BARRIO: LOS TRES REYES I ETAPA; ID: 2003-19-4556</t>
  </si>
  <si>
    <t>REAS-370</t>
  </si>
  <si>
    <t>VUR de la actual vigencia. Decreto 255 de 2013. LOCALIDAD: USAQUEN; BARRIO:SANTA CECILIA BAJA; ID:2005-1-7523</t>
  </si>
  <si>
    <t>REAS-371</t>
  </si>
  <si>
    <t>VUR de la actual vigencia. Decreto 255 de 2013. LOCALIDAD: CIUDAD BOLIVAR; BARRIO: BELLA FLOR SUR; ID:2015-Q03-03337</t>
  </si>
  <si>
    <t>REAS-372</t>
  </si>
  <si>
    <t>HERNAN  PULIDO GALINDO</t>
  </si>
  <si>
    <t>Adquisición predial por Decreto 511 de 2010. LOCALIDAD: SAN CRISTOBAL;BARRIO: LA BELLEZA; ID: 2013-Q10-00424</t>
  </si>
  <si>
    <t>REAS-373</t>
  </si>
  <si>
    <t>VUR conforme al avalúo comercial. Decreto 255 de 2013 LOCALIDAD: USAQUEN; BARRIO: TIBABITA RURAL; ID:2006-1-7963</t>
  </si>
  <si>
    <t>REAS-374</t>
  </si>
  <si>
    <t>VUR conforme al avalúo comercial. Decreto 255 de 2013 LOCALIDAD: CIUDAD BOLIVAR; BARRIO: RINCON DEL PORVENIR; ID:2005-19-7498</t>
  </si>
  <si>
    <t>REAS-375</t>
  </si>
  <si>
    <t>Cumplimiento de la orden impartida por el Juzgado Treinta y Seis Penal del Circuito con Función de Conocimiento de Bogotá D.C, mediante providencia del 09 de abril de 2018, notificada a la Caja de la Vivienda Popular el 17 de abril de 2018, en el marco de la Acción de Tutela 2018-0013, instaurada por el señor JESUS MARÍA GONZÁLEZ RODRÍGUEZ.</t>
  </si>
  <si>
    <t>REAS-376</t>
  </si>
  <si>
    <t>3075-356</t>
  </si>
  <si>
    <t>JESUS MARIA GONZALEZ RODRIGUEZ</t>
  </si>
  <si>
    <t>Pago por Sentencia pago de ayuda por Relocalización Transitoria</t>
  </si>
  <si>
    <t>Adquisición predial por Decreto 511 de 2010. LOCALIDAD: USME; BARRIO: ARRAYANES V; ID: 2015-Q01-04328</t>
  </si>
  <si>
    <t>REAS-377</t>
  </si>
  <si>
    <t>VUR de la actual vigencia. Decreto 255 de 2013. LOCALIDAD: SUBA; BARRIO: SAN PEDRO; DE TIBABUYES; ID: 2018-11-15274</t>
  </si>
  <si>
    <t>REAS-380</t>
  </si>
  <si>
    <t>REAS-381</t>
  </si>
  <si>
    <t>0065 - Decreto 227 de 2015 -
PAIMIS</t>
  </si>
  <si>
    <t>Asignación de recursos equivalentes a 70 salarios minimos legales vigentes, conforme a lo estipulado en el decreto 227 de 2015. LOCALIDAD: KENNEDY; BARRIO: LAS PALMITAS; ID: 2017-08-14939</t>
  </si>
  <si>
    <t>REAS-384</t>
  </si>
  <si>
    <t>3075-342</t>
  </si>
  <si>
    <t>Asignación de recursos equivalentes a 70 salarios minimos legales vigentes, conforme a lo estipulado en el decreto 227 de 2015. LOCALIDAD: KENNEDY; BARRIO: LAS PALMITAS; ID: 22016-08-14844</t>
  </si>
  <si>
    <t>REAS-385</t>
  </si>
  <si>
    <t>Recursos para amparar traslado presupuestal</t>
  </si>
  <si>
    <t>REAS-386</t>
  </si>
  <si>
    <t>3075-354</t>
  </si>
  <si>
    <t>TRASLADO PRESUPUESTAL ENTRE PROYECTOS DE INVERSION 3075  - 208 Y 7328</t>
  </si>
  <si>
    <t>Asignación de recursos equivalentes a 70 salarios minimos legales vigentes, conforme a lo estipulado en el decreto 227 de 2015. LOCALIDAD: KENNEDY; BARRIO: LAS PALMITAS; ID: 22016-08-14912</t>
  </si>
  <si>
    <t>REAS-389</t>
  </si>
  <si>
    <t>3075-343</t>
  </si>
  <si>
    <t>VUR de la actual vigencia. La asignación se realiza para dar cumplimiento al fallo de acción popular 2002-00152-Suba Gavilanes. Decreto 255 de 2013. LOCALIDAD: SUBA (GAVILANES); BARRIO: SANTA CECILIA; ID: 2018-11-15198</t>
  </si>
  <si>
    <t>REAS-388</t>
  </si>
  <si>
    <t>3075-339
3075-340</t>
  </si>
  <si>
    <r>
      <t xml:space="preserve">Aplicación Decreto 511 de diciembre 14 de 2010 artículo primero que autoriza a la entidad a adquirir los predios de familias localizadas en zonas de alto riesgo no mitigable </t>
    </r>
    <r>
      <rPr>
        <sz val="10"/>
        <rFont val="Arial Narrow"/>
        <family val="2"/>
      </rPr>
      <t>hasta agotar presupuesto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</si>
</sst>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1" formatCode="_-* #,##0_-;\-* #,##0_-;_-* &quot;-&quot;_-;_-@_-"/>
    <numFmt numFmtId="43" formatCode="_-* #,##0.00_-;\-* #,##0.00_-;_-* &quot;-&quot;??_-;_-@_-"/>
    <numFmt numFmtId="164" formatCode="_-&quot;XDR&quot;* #,##0_-;\-&quot;XDR&quot;* #,##0_-;_-&quot;XDR&quot;* &quot;-&quot;_-;_-@_-"/>
    <numFmt numFmtId="165" formatCode="_-&quot;XDR&quot;* #,##0.00_-;\-&quot;XDR&quot;* #,##0.00_-;_-&quot;XDR&quot;* &quot;-&quot;??_-;_-@_-"/>
    <numFmt numFmtId="166" formatCode="_(* #,##0.00_);_(* \(#,##0.00\);_(* &quot;-&quot;??_);_(@_)"/>
    <numFmt numFmtId="167" formatCode="_(* #,##0_);_(* \(#,##0\);_(* &quot;-&quot;??_);_(@_)"/>
    <numFmt numFmtId="168" formatCode="_(* #,##0.0_);_(* \(#,##0.0\);_(* &quot;-&quot;??_);_(@_)"/>
    <numFmt numFmtId="169" formatCode="_-* #,##0.00\ _€_-;\-* #,##0.00\ _€_-;_-* &quot;-&quot;??\ _€_-;_-@_-"/>
    <numFmt numFmtId="170" formatCode="_(&quot;$&quot;\ * #,##0.00_);_(&quot;$&quot;\ * \(#,##0.00\);_(&quot;$&quot;\ * &quot;-&quot;??_);_(@_)"/>
    <numFmt numFmtId="171" formatCode="_-&quot;$&quot;\ * #,##0_-;\-&quot;$&quot;\ * #,##0_-;_-&quot;$&quot;\ * &quot;-&quot;_-;_-@_-"/>
    <numFmt numFmtId="172" formatCode="_-* #,##0\ _€_-;\-* #,##0\ _€_-;_-* &quot;-&quot;??\ _€_-;_-@_-"/>
    <numFmt numFmtId="173" formatCode="#,##0.0"/>
    <numFmt numFmtId="174" formatCode="_-&quot;$&quot;\ * #,##0.00_-;\-&quot;$&quot;\ * #,##0.00_-;_-&quot;$&quot;\ * &quot;-&quot;_-;_-@_-"/>
    <numFmt numFmtId="175" formatCode="[$$-240A]\ #,##0;\-[$$-240A]\ #,##0"/>
    <numFmt numFmtId="176" formatCode="_ * #,##0_ ;_ * \-#,##0_ ;_ * &quot;-&quot;??_ ;_ @_ "/>
    <numFmt numFmtId="177" formatCode="#,##0_ ;\-#,##0\ "/>
    <numFmt numFmtId="178" formatCode="#,##0.0_ ;\-#,##0.0\ "/>
    <numFmt numFmtId="179" formatCode="dd\-mm\-yy;@"/>
    <numFmt numFmtId="180" formatCode="_-&quot;$&quot;* #,##0.00_-;\-&quot;$&quot;* #,##0.00_-;_-&quot;$&quot;* &quot;-&quot;_-;_-@_-"/>
    <numFmt numFmtId="181" formatCode="0.0"/>
  </numFmts>
  <fonts count="33" x14ac:knownFonts="1">
    <font>
      <sz val="11"/>
      <color theme="1"/>
      <name val="Calibri"/>
      <family val="2"/>
      <scheme val="minor"/>
    </font>
    <font>
      <sz val="11"/>
      <color theme="1"/>
      <name val="Calibri"/>
      <family val="2"/>
      <scheme val="minor"/>
    </font>
    <font>
      <b/>
      <sz val="9"/>
      <name val="Arial Narrow"/>
      <family val="2"/>
    </font>
    <font>
      <sz val="9"/>
      <name val="Arial Narrow"/>
      <family val="2"/>
    </font>
    <font>
      <b/>
      <sz val="12"/>
      <name val="Arial Narrow"/>
      <family val="2"/>
    </font>
    <font>
      <sz val="10"/>
      <name val="Arial"/>
      <family val="2"/>
    </font>
    <font>
      <b/>
      <sz val="12"/>
      <name val="Arial"/>
      <family val="2"/>
    </font>
    <font>
      <sz val="12"/>
      <name val="Arial Narrow"/>
      <family val="2"/>
    </font>
    <font>
      <b/>
      <sz val="10"/>
      <name val="Arial Narrow"/>
      <family val="2"/>
    </font>
    <font>
      <sz val="10"/>
      <color indexed="81"/>
      <name val="Tahoma"/>
      <family val="2"/>
    </font>
    <font>
      <b/>
      <sz val="8"/>
      <color indexed="81"/>
      <name val="Tahoma"/>
      <family val="2"/>
    </font>
    <font>
      <sz val="8"/>
      <color indexed="81"/>
      <name val="Tahoma"/>
      <family val="2"/>
    </font>
    <font>
      <b/>
      <sz val="10"/>
      <color indexed="81"/>
      <name val="Tahoma"/>
      <family val="2"/>
    </font>
    <font>
      <sz val="10"/>
      <color theme="1"/>
      <name val="Arial"/>
      <family val="2"/>
    </font>
    <font>
      <b/>
      <sz val="10"/>
      <name val="Arial"/>
      <family val="2"/>
    </font>
    <font>
      <sz val="10"/>
      <color rgb="FF222222"/>
      <name val="Arial"/>
      <family val="2"/>
    </font>
    <font>
      <sz val="11"/>
      <name val="Calibri"/>
      <family val="2"/>
      <scheme val="minor"/>
    </font>
    <font>
      <sz val="11"/>
      <color theme="5" tint="-0.249977111117893"/>
      <name val="Calibri"/>
      <family val="2"/>
      <scheme val="minor"/>
    </font>
    <font>
      <b/>
      <sz val="9"/>
      <color indexed="81"/>
      <name val="Tahoma"/>
      <family val="2"/>
    </font>
    <font>
      <sz val="9"/>
      <color indexed="81"/>
      <name val="Tahoma"/>
      <family val="2"/>
    </font>
    <font>
      <b/>
      <sz val="10"/>
      <color rgb="FFFF0000"/>
      <name val="Arial"/>
      <family val="2"/>
    </font>
    <font>
      <sz val="10"/>
      <color rgb="FF000000"/>
      <name val="Arial"/>
      <family val="2"/>
    </font>
    <font>
      <b/>
      <sz val="10"/>
      <color theme="1"/>
      <name val="Arial"/>
      <family val="2"/>
    </font>
    <font>
      <b/>
      <sz val="10"/>
      <color theme="5" tint="-0.249977111117893"/>
      <name val="Arial"/>
      <family val="2"/>
    </font>
    <font>
      <sz val="10"/>
      <color theme="5" tint="-0.249977111117893"/>
      <name val="Arial"/>
      <family val="2"/>
    </font>
    <font>
      <sz val="11"/>
      <color indexed="81"/>
      <name val="Tahoma"/>
      <family val="2"/>
    </font>
    <font>
      <sz val="12"/>
      <color indexed="81"/>
      <name val="Tahoma"/>
      <family val="2"/>
    </font>
    <font>
      <b/>
      <sz val="10"/>
      <color theme="1"/>
      <name val="Calibri"/>
      <family val="2"/>
      <scheme val="minor"/>
    </font>
    <font>
      <sz val="10"/>
      <color theme="1"/>
      <name val="Calibri"/>
      <family val="2"/>
      <scheme val="minor"/>
    </font>
    <font>
      <sz val="10"/>
      <name val="Arial Narrow"/>
      <family val="2"/>
    </font>
    <font>
      <sz val="10"/>
      <color theme="1"/>
      <name val="Arial Narrow"/>
      <family val="2"/>
    </font>
    <font>
      <sz val="10"/>
      <color rgb="FF000000"/>
      <name val="Arial Narrow"/>
      <family val="2"/>
    </font>
    <font>
      <sz val="10"/>
      <color rgb="FFFF0000"/>
      <name val="Arial Narrow"/>
      <family val="2"/>
    </font>
  </fonts>
  <fills count="5">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0" fontId="1" fillId="0" borderId="0"/>
    <xf numFmtId="169" fontId="5" fillId="0" borderId="0" applyFont="0" applyFill="0" applyBorder="0" applyAlignment="0" applyProtection="0"/>
    <xf numFmtId="169" fontId="1" fillId="0" borderId="0" applyFont="0" applyFill="0" applyBorder="0" applyAlignment="0" applyProtection="0"/>
    <xf numFmtId="0" fontId="5" fillId="0" borderId="0"/>
    <xf numFmtId="0" fontId="5" fillId="0" borderId="0"/>
    <xf numFmtId="169" fontId="5" fillId="0" borderId="0" applyFont="0" applyFill="0" applyBorder="0" applyAlignment="0" applyProtection="0"/>
    <xf numFmtId="169" fontId="5" fillId="0" borderId="0" applyFont="0" applyFill="0" applyBorder="0" applyAlignment="0" applyProtection="0"/>
    <xf numFmtId="0" fontId="1" fillId="0" borderId="0"/>
    <xf numFmtId="169" fontId="1" fillId="0" borderId="0" applyFont="0" applyFill="0" applyBorder="0" applyAlignment="0" applyProtection="0"/>
    <xf numFmtId="0" fontId="5" fillId="0" borderId="0"/>
  </cellStyleXfs>
  <cellXfs count="403">
    <xf numFmtId="0" fontId="0" fillId="0" borderId="0" xfId="0"/>
    <xf numFmtId="0" fontId="3" fillId="3" borderId="0" xfId="0" applyFont="1" applyFill="1" applyBorder="1" applyAlignment="1">
      <alignment vertical="center" wrapText="1"/>
    </xf>
    <xf numFmtId="0" fontId="3" fillId="0" borderId="0" xfId="0" applyFont="1" applyFill="1" applyBorder="1" applyAlignment="1">
      <alignment vertical="center" wrapText="1"/>
    </xf>
    <xf numFmtId="0" fontId="2" fillId="3"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3" borderId="0" xfId="0" applyFont="1" applyFill="1" applyAlignment="1">
      <alignment wrapText="1"/>
    </xf>
    <xf numFmtId="0" fontId="5" fillId="3" borderId="1" xfId="0" applyFont="1" applyFill="1" applyBorder="1" applyAlignment="1">
      <alignment horizontal="center"/>
    </xf>
    <xf numFmtId="0" fontId="7"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167" fontId="3" fillId="0" borderId="0" xfId="1" applyNumberFormat="1" applyFont="1" applyAlignment="1">
      <alignment vertical="center" wrapText="1"/>
    </xf>
    <xf numFmtId="168" fontId="3" fillId="0" borderId="0" xfId="1" applyNumberFormat="1" applyFont="1" applyAlignment="1">
      <alignment wrapText="1"/>
    </xf>
    <xf numFmtId="0" fontId="4" fillId="3" borderId="0" xfId="0" applyFont="1" applyFill="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vertical="center" wrapText="1"/>
    </xf>
    <xf numFmtId="0" fontId="4" fillId="0" borderId="0" xfId="0" applyFont="1" applyAlignment="1">
      <alignment vertical="center" wrapText="1"/>
    </xf>
    <xf numFmtId="0" fontId="5" fillId="0" borderId="1" xfId="0" applyFont="1" applyFill="1" applyBorder="1" applyAlignment="1">
      <alignment horizontal="center" vertical="center" wrapText="1"/>
    </xf>
    <xf numFmtId="0" fontId="5" fillId="0" borderId="1" xfId="9" applyFont="1" applyFill="1" applyBorder="1" applyAlignment="1">
      <alignment horizontal="center" vertical="center" wrapText="1"/>
    </xf>
    <xf numFmtId="167" fontId="5" fillId="0" borderId="1" xfId="10" applyNumberFormat="1" applyFont="1" applyFill="1" applyBorder="1" applyAlignment="1">
      <alignment vertical="center" wrapText="1"/>
    </xf>
    <xf numFmtId="0" fontId="5" fillId="0" borderId="1" xfId="9" applyFont="1" applyFill="1" applyBorder="1" applyAlignment="1">
      <alignment vertical="center" wrapText="1"/>
    </xf>
    <xf numFmtId="0" fontId="5" fillId="0" borderId="7" xfId="9"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13" fillId="0" borderId="7" xfId="0" applyFont="1" applyFill="1" applyBorder="1" applyAlignment="1">
      <alignment horizontal="left" vertical="center" wrapText="1"/>
    </xf>
    <xf numFmtId="169" fontId="5" fillId="0" borderId="7" xfId="6" applyNumberFormat="1" applyFont="1" applyFill="1" applyBorder="1" applyAlignment="1">
      <alignment horizontal="right" vertical="center" wrapText="1"/>
    </xf>
    <xf numFmtId="172" fontId="5" fillId="0" borderId="7" xfId="3" applyNumberFormat="1" applyFont="1" applyFill="1" applyBorder="1" applyAlignment="1">
      <alignment horizontal="center" vertical="center" wrapText="1"/>
    </xf>
    <xf numFmtId="169" fontId="5" fillId="0" borderId="1" xfId="6" applyNumberFormat="1" applyFont="1" applyFill="1" applyBorder="1" applyAlignment="1">
      <alignment vertical="center" wrapText="1"/>
    </xf>
    <xf numFmtId="169" fontId="5" fillId="0" borderId="1" xfId="11" applyNumberFormat="1" applyFont="1" applyFill="1" applyBorder="1" applyAlignment="1">
      <alignment vertical="center" wrapText="1"/>
    </xf>
    <xf numFmtId="17" fontId="5" fillId="0" borderId="7" xfId="9" applyNumberFormat="1" applyFont="1" applyFill="1" applyBorder="1" applyAlignment="1">
      <alignment horizontal="center" vertical="center" wrapText="1"/>
    </xf>
    <xf numFmtId="3" fontId="5" fillId="0" borderId="7" xfId="3"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wrapText="1"/>
    </xf>
    <xf numFmtId="14" fontId="5" fillId="0" borderId="1" xfId="0" applyNumberFormat="1" applyFont="1" applyFill="1" applyBorder="1" applyAlignment="1">
      <alignment wrapText="1"/>
    </xf>
    <xf numFmtId="167" fontId="5" fillId="0" borderId="1" xfId="5" applyNumberFormat="1" applyFont="1" applyFill="1" applyBorder="1" applyAlignment="1">
      <alignment vertical="center" wrapText="1"/>
    </xf>
    <xf numFmtId="0" fontId="14" fillId="0" borderId="1" xfId="0" applyFont="1" applyFill="1" applyBorder="1" applyAlignment="1">
      <alignment vertical="center" wrapText="1"/>
    </xf>
    <xf numFmtId="164" fontId="5" fillId="0" borderId="1" xfId="4" applyFont="1" applyFill="1" applyBorder="1" applyAlignment="1">
      <alignment vertical="center" wrapText="1"/>
    </xf>
    <xf numFmtId="0" fontId="14" fillId="0" borderId="1" xfId="0" applyFont="1" applyFill="1" applyBorder="1" applyAlignment="1">
      <alignment horizontal="center" vertical="center" wrapText="1"/>
    </xf>
    <xf numFmtId="43" fontId="5" fillId="0" borderId="1" xfId="0" applyNumberFormat="1" applyFont="1" applyFill="1" applyBorder="1" applyAlignment="1">
      <alignment vertical="center" wrapText="1"/>
    </xf>
    <xf numFmtId="0" fontId="5" fillId="0" borderId="1" xfId="9" applyFont="1" applyFill="1" applyBorder="1" applyAlignment="1">
      <alignment horizontal="left" vertical="center" wrapText="1"/>
    </xf>
    <xf numFmtId="0" fontId="13" fillId="0" borderId="1" xfId="0" applyFont="1" applyFill="1" applyBorder="1" applyAlignment="1">
      <alignment horizontal="left" vertical="center" wrapText="1"/>
    </xf>
    <xf numFmtId="172" fontId="5" fillId="0" borderId="1" xfId="3" applyNumberFormat="1" applyFont="1" applyFill="1" applyBorder="1" applyAlignment="1">
      <alignment horizontal="center" vertical="center" wrapText="1"/>
    </xf>
    <xf numFmtId="3" fontId="5" fillId="0" borderId="1" xfId="3" applyNumberFormat="1" applyFont="1" applyFill="1" applyBorder="1" applyAlignment="1">
      <alignment horizontal="center" vertical="center" wrapText="1"/>
    </xf>
    <xf numFmtId="17" fontId="5" fillId="0" borderId="1" xfId="9" applyNumberFormat="1" applyFont="1" applyFill="1" applyBorder="1" applyAlignment="1">
      <alignment horizontal="center" vertical="center" wrapText="1"/>
    </xf>
    <xf numFmtId="14" fontId="5" fillId="0" borderId="1" xfId="0" applyNumberFormat="1" applyFont="1" applyFill="1" applyBorder="1" applyAlignment="1">
      <alignment horizontal="center" wrapText="1"/>
    </xf>
    <xf numFmtId="0" fontId="5" fillId="0" borderId="1" xfId="0" applyNumberFormat="1" applyFont="1" applyFill="1" applyBorder="1" applyAlignment="1">
      <alignment wrapText="1"/>
    </xf>
    <xf numFmtId="0" fontId="15" fillId="0" borderId="1" xfId="0" applyFont="1" applyFill="1" applyBorder="1" applyAlignment="1">
      <alignment horizontal="center" vertical="center"/>
    </xf>
    <xf numFmtId="14" fontId="5" fillId="0" borderId="1" xfId="0" applyNumberFormat="1" applyFont="1" applyFill="1" applyBorder="1" applyAlignment="1">
      <alignment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Border="1" applyAlignment="1">
      <alignment vertical="center" wrapText="1"/>
    </xf>
    <xf numFmtId="173" fontId="5" fillId="0" borderId="1" xfId="3" applyNumberFormat="1" applyFont="1" applyFill="1" applyBorder="1" applyAlignment="1">
      <alignment horizontal="center" vertical="center" wrapText="1"/>
    </xf>
    <xf numFmtId="169"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169" fontId="5" fillId="0" borderId="7" xfId="6" applyNumberFormat="1" applyFont="1" applyFill="1" applyBorder="1" applyAlignment="1">
      <alignment vertical="center" wrapText="1"/>
    </xf>
    <xf numFmtId="169" fontId="5" fillId="0" borderId="7" xfId="11" applyNumberFormat="1" applyFont="1" applyFill="1" applyBorder="1" applyAlignment="1">
      <alignment vertical="center" wrapText="1"/>
    </xf>
    <xf numFmtId="173" fontId="5" fillId="0" borderId="7" xfId="3" applyNumberFormat="1" applyFont="1" applyFill="1" applyBorder="1" applyAlignment="1">
      <alignment horizontal="center" vertical="center" wrapText="1"/>
    </xf>
    <xf numFmtId="0" fontId="5" fillId="0" borderId="7" xfId="0" applyFont="1" applyFill="1" applyBorder="1" applyAlignment="1">
      <alignment vertical="center" wrapText="1"/>
    </xf>
    <xf numFmtId="14" fontId="5" fillId="0" borderId="7" xfId="0" applyNumberFormat="1" applyFont="1" applyFill="1" applyBorder="1" applyAlignment="1">
      <alignment horizontal="center" wrapText="1"/>
    </xf>
    <xf numFmtId="169" fontId="5" fillId="0" borderId="7" xfId="0" applyNumberFormat="1" applyFont="1" applyFill="1" applyBorder="1" applyAlignment="1">
      <alignment vertical="center" wrapText="1"/>
    </xf>
    <xf numFmtId="167" fontId="5" fillId="0" borderId="7" xfId="5" applyNumberFormat="1" applyFont="1" applyFill="1" applyBorder="1" applyAlignment="1">
      <alignment vertical="center" wrapText="1"/>
    </xf>
    <xf numFmtId="0" fontId="14" fillId="0" borderId="7" xfId="0" applyFont="1" applyFill="1" applyBorder="1" applyAlignment="1">
      <alignment vertical="center" wrapText="1"/>
    </xf>
    <xf numFmtId="164" fontId="5" fillId="0" borderId="7" xfId="4" applyFont="1" applyFill="1" applyBorder="1" applyAlignment="1">
      <alignment vertical="center" wrapText="1"/>
    </xf>
    <xf numFmtId="0" fontId="1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43" fontId="5" fillId="0" borderId="7" xfId="0" applyNumberFormat="1" applyFont="1" applyFill="1" applyBorder="1" applyAlignment="1">
      <alignment vertical="center" wrapText="1"/>
    </xf>
    <xf numFmtId="14" fontId="5" fillId="0" borderId="7" xfId="0" applyNumberFormat="1"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horizontal="center" vertical="center" wrapText="1"/>
    </xf>
    <xf numFmtId="17" fontId="5" fillId="0" borderId="1" xfId="0" applyNumberFormat="1" applyFont="1" applyBorder="1" applyAlignment="1">
      <alignment horizontal="center" wrapText="1"/>
    </xf>
    <xf numFmtId="167" fontId="5" fillId="0" borderId="1" xfId="5" applyNumberFormat="1" applyFont="1" applyBorder="1" applyAlignment="1">
      <alignment vertical="center" wrapText="1"/>
    </xf>
    <xf numFmtId="164" fontId="5" fillId="0" borderId="1" xfId="4" applyFont="1" applyBorder="1" applyAlignment="1">
      <alignment vertical="center" wrapText="1"/>
    </xf>
    <xf numFmtId="14" fontId="5" fillId="0" borderId="1" xfId="0" applyNumberFormat="1" applyFont="1" applyBorder="1" applyAlignment="1">
      <alignment horizontal="center" vertical="center" wrapText="1"/>
    </xf>
    <xf numFmtId="0" fontId="15" fillId="0" borderId="1" xfId="0" applyFont="1" applyFill="1" applyBorder="1"/>
    <xf numFmtId="49" fontId="5" fillId="0" borderId="1" xfId="12" applyNumberFormat="1" applyFont="1" applyFill="1" applyBorder="1" applyAlignment="1">
      <alignment horizontal="left" vertical="center" wrapText="1"/>
    </xf>
    <xf numFmtId="0" fontId="15" fillId="0" borderId="0" xfId="0" applyFont="1" applyFill="1"/>
    <xf numFmtId="0" fontId="16" fillId="0" borderId="1" xfId="0" applyFont="1" applyFill="1" applyBorder="1" applyAlignment="1">
      <alignment horizontal="center" vertical="center" wrapText="1"/>
    </xf>
    <xf numFmtId="0" fontId="15" fillId="0" borderId="1" xfId="0" applyFont="1" applyFill="1" applyBorder="1" applyAlignment="1">
      <alignment vertical="center"/>
    </xf>
    <xf numFmtId="0" fontId="15" fillId="0" borderId="6" xfId="0" applyFont="1" applyFill="1" applyBorder="1" applyAlignment="1">
      <alignment vertical="center"/>
    </xf>
    <xf numFmtId="0" fontId="15" fillId="0" borderId="6" xfId="0" applyFont="1" applyFill="1" applyBorder="1"/>
    <xf numFmtId="49" fontId="5" fillId="0" borderId="6" xfId="12" applyNumberFormat="1" applyFont="1" applyFill="1" applyBorder="1" applyAlignment="1">
      <alignment horizontal="left" vertical="center" wrapText="1"/>
    </xf>
    <xf numFmtId="0" fontId="15" fillId="0" borderId="0" xfId="0" applyFont="1" applyFill="1" applyAlignment="1">
      <alignment vertical="center" wrapText="1"/>
    </xf>
    <xf numFmtId="14" fontId="16" fillId="0" borderId="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5"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167" fontId="14" fillId="2" borderId="1" xfId="1" applyNumberFormat="1" applyFont="1" applyFill="1" applyBorder="1" applyAlignment="1">
      <alignment horizontal="center" vertical="center" wrapText="1"/>
    </xf>
    <xf numFmtId="168" fontId="14" fillId="2"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7" fontId="5" fillId="3" borderId="1" xfId="5" applyNumberFormat="1"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21"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1" fillId="0" borderId="6" xfId="0" applyFont="1" applyFill="1" applyBorder="1" applyAlignment="1">
      <alignment horizontal="justify" vertical="center" wrapText="1"/>
    </xf>
    <xf numFmtId="172" fontId="13" fillId="0" borderId="1" xfId="0" applyNumberFormat="1" applyFont="1" applyFill="1" applyBorder="1"/>
    <xf numFmtId="0" fontId="5" fillId="0" borderId="1" xfId="12" applyFont="1" applyFill="1" applyBorder="1" applyAlignment="1">
      <alignment horizontal="center" vertical="center" wrapText="1"/>
    </xf>
    <xf numFmtId="0" fontId="22" fillId="0" borderId="1" xfId="0" applyFont="1" applyFill="1" applyBorder="1" applyAlignment="1">
      <alignment horizontal="left"/>
    </xf>
    <xf numFmtId="14" fontId="13" fillId="0" borderId="1" xfId="0" applyNumberFormat="1" applyFont="1" applyFill="1" applyBorder="1"/>
    <xf numFmtId="0" fontId="20" fillId="0" borderId="1" xfId="0" applyFont="1" applyFill="1" applyBorder="1" applyAlignment="1">
      <alignment horizontal="center" vertical="center" wrapText="1"/>
    </xf>
    <xf numFmtId="14" fontId="5" fillId="0" borderId="1" xfId="0" applyNumberFormat="1" applyFont="1" applyFill="1" applyBorder="1"/>
    <xf numFmtId="167" fontId="5" fillId="0" borderId="1" xfId="5" applyNumberFormat="1" applyFont="1" applyFill="1" applyBorder="1" applyAlignment="1">
      <alignment horizontal="center" vertical="center" wrapText="1"/>
    </xf>
    <xf numFmtId="167" fontId="5" fillId="0" borderId="4" xfId="5" applyNumberFormat="1" applyFont="1" applyFill="1" applyBorder="1" applyAlignment="1">
      <alignment horizontal="center" vertical="center" wrapText="1"/>
    </xf>
    <xf numFmtId="0" fontId="13" fillId="3" borderId="1" xfId="0" applyFont="1" applyFill="1" applyBorder="1"/>
    <xf numFmtId="164" fontId="5" fillId="0" borderId="0" xfId="4" applyFont="1" applyAlignment="1">
      <alignment vertical="center" wrapText="1"/>
    </xf>
    <xf numFmtId="0" fontId="13" fillId="0" borderId="1" xfId="0" applyFont="1" applyFill="1" applyBorder="1" applyAlignment="1">
      <alignment wrapText="1"/>
    </xf>
    <xf numFmtId="164" fontId="13" fillId="0" borderId="1" xfId="4" applyFont="1" applyFill="1" applyBorder="1" applyAlignment="1">
      <alignment horizontal="right" vertical="center"/>
    </xf>
    <xf numFmtId="0" fontId="13" fillId="0" borderId="1" xfId="0" applyFont="1" applyFill="1" applyBorder="1" applyAlignment="1">
      <alignment horizontal="right" vertical="center" wrapText="1"/>
    </xf>
    <xf numFmtId="174" fontId="13" fillId="0" borderId="1" xfId="4" applyNumberFormat="1" applyFont="1" applyFill="1" applyBorder="1" applyAlignment="1">
      <alignment horizontal="right" vertical="center"/>
    </xf>
    <xf numFmtId="0" fontId="13" fillId="0" borderId="1" xfId="0" applyFont="1" applyFill="1" applyBorder="1" applyAlignment="1">
      <alignment vertical="center" wrapText="1"/>
    </xf>
    <xf numFmtId="14"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164" fontId="13" fillId="0" borderId="1" xfId="4" applyFont="1" applyFill="1" applyBorder="1" applyAlignment="1">
      <alignment vertical="center"/>
    </xf>
    <xf numFmtId="14" fontId="13" fillId="0" borderId="1" xfId="0" applyNumberFormat="1" applyFont="1" applyFill="1" applyBorder="1" applyAlignment="1">
      <alignment horizontal="right" vertical="center"/>
    </xf>
    <xf numFmtId="171" fontId="13" fillId="0" borderId="1" xfId="0" applyNumberFormat="1" applyFont="1" applyFill="1" applyBorder="1" applyAlignment="1">
      <alignment horizontal="right" vertical="center"/>
    </xf>
    <xf numFmtId="0" fontId="13" fillId="0" borderId="1" xfId="0" applyFont="1" applyFill="1" applyBorder="1" applyAlignment="1">
      <alignment vertical="center"/>
    </xf>
    <xf numFmtId="0" fontId="13" fillId="0" borderId="1" xfId="0" applyFont="1" applyFill="1" applyBorder="1" applyAlignment="1">
      <alignment horizontal="justify" vertical="center"/>
    </xf>
    <xf numFmtId="0" fontId="13" fillId="0" borderId="1" xfId="0" applyFont="1" applyFill="1" applyBorder="1"/>
    <xf numFmtId="171" fontId="13" fillId="0" borderId="1" xfId="0" applyNumberFormat="1" applyFont="1" applyBorder="1"/>
    <xf numFmtId="0" fontId="13" fillId="0" borderId="1" xfId="0" applyFont="1" applyBorder="1"/>
    <xf numFmtId="171" fontId="13" fillId="0" borderId="1" xfId="0" applyNumberFormat="1" applyFont="1" applyFill="1" applyBorder="1"/>
    <xf numFmtId="14" fontId="13" fillId="0" borderId="1" xfId="0" applyNumberFormat="1" applyFont="1" applyFill="1" applyBorder="1" applyAlignment="1">
      <alignment vertical="center"/>
    </xf>
    <xf numFmtId="0" fontId="13" fillId="0" borderId="1" xfId="0" applyFont="1" applyBorder="1" applyAlignment="1">
      <alignment vertical="center"/>
    </xf>
    <xf numFmtId="0" fontId="13" fillId="0" borderId="1" xfId="0" applyFont="1" applyFill="1" applyBorder="1" applyAlignment="1">
      <alignment horizontal="justify" vertical="top"/>
    </xf>
    <xf numFmtId="14" fontId="13" fillId="0" borderId="1" xfId="0" applyNumberFormat="1" applyFont="1" applyFill="1" applyBorder="1" applyAlignment="1">
      <alignment horizontal="justify" vertical="center"/>
    </xf>
    <xf numFmtId="0" fontId="13" fillId="0" borderId="1" xfId="0" applyFont="1" applyFill="1" applyBorder="1" applyAlignment="1">
      <alignment horizontal="right" vertical="center"/>
    </xf>
    <xf numFmtId="14" fontId="13" fillId="0" borderId="1" xfId="0" applyNumberFormat="1" applyFont="1" applyBorder="1" applyAlignment="1">
      <alignment vertical="center"/>
    </xf>
    <xf numFmtId="0" fontId="13" fillId="0" borderId="7" xfId="0" applyFont="1" applyFill="1" applyBorder="1" applyAlignment="1">
      <alignment wrapText="1"/>
    </xf>
    <xf numFmtId="0" fontId="13" fillId="0" borderId="1" xfId="0" applyFont="1" applyFill="1" applyBorder="1" applyAlignment="1">
      <alignment vertical="top" wrapText="1"/>
    </xf>
    <xf numFmtId="0" fontId="13" fillId="0" borderId="5" xfId="0" applyFont="1" applyFill="1" applyBorder="1"/>
    <xf numFmtId="172" fontId="13" fillId="0" borderId="1" xfId="0" applyNumberFormat="1" applyFont="1" applyFill="1" applyBorder="1" applyAlignment="1">
      <alignment horizontal="right" vertical="center"/>
    </xf>
    <xf numFmtId="0" fontId="13" fillId="0" borderId="6" xfId="0" applyFont="1" applyFill="1" applyBorder="1" applyAlignment="1">
      <alignment wrapText="1"/>
    </xf>
    <xf numFmtId="164" fontId="13" fillId="0" borderId="7" xfId="4" applyFont="1" applyFill="1" applyBorder="1" applyAlignment="1">
      <alignment horizontal="right" vertical="center"/>
    </xf>
    <xf numFmtId="0" fontId="13" fillId="0" borderId="7" xfId="0" applyFont="1" applyFill="1" applyBorder="1" applyAlignment="1">
      <alignment horizontal="right" vertical="center"/>
    </xf>
    <xf numFmtId="14" fontId="13" fillId="0" borderId="7" xfId="0" applyNumberFormat="1" applyFont="1" applyBorder="1" applyAlignment="1">
      <alignment vertical="center"/>
    </xf>
    <xf numFmtId="164" fontId="13" fillId="0" borderId="7" xfId="4" applyFont="1" applyBorder="1" applyAlignment="1">
      <alignment horizontal="right" vertical="center"/>
    </xf>
    <xf numFmtId="0" fontId="13" fillId="0" borderId="7" xfId="0" applyFont="1" applyBorder="1"/>
    <xf numFmtId="0" fontId="13" fillId="0" borderId="7" xfId="0" applyFont="1" applyBorder="1" applyAlignment="1">
      <alignment vertical="center"/>
    </xf>
    <xf numFmtId="0" fontId="13" fillId="0" borderId="0" xfId="0" applyFont="1" applyAlignment="1">
      <alignment horizontal="justify" vertical="justify"/>
    </xf>
    <xf numFmtId="171" fontId="13" fillId="0" borderId="7" xfId="0" applyNumberFormat="1" applyFont="1" applyFill="1" applyBorder="1"/>
    <xf numFmtId="171" fontId="13" fillId="0" borderId="7" xfId="0" applyNumberFormat="1" applyFont="1" applyBorder="1"/>
    <xf numFmtId="0" fontId="13" fillId="0" borderId="6" xfId="0" applyFont="1" applyFill="1" applyBorder="1" applyAlignment="1">
      <alignment vertical="center" wrapText="1"/>
    </xf>
    <xf numFmtId="164" fontId="13" fillId="0" borderId="1" xfId="4" applyFont="1" applyBorder="1"/>
    <xf numFmtId="164" fontId="13" fillId="0" borderId="1" xfId="4" applyFont="1" applyBorder="1" applyAlignment="1">
      <alignment horizontal="right" vertical="center"/>
    </xf>
    <xf numFmtId="0" fontId="13" fillId="0" borderId="1" xfId="0" applyFont="1" applyBorder="1" applyAlignment="1">
      <alignment horizontal="justify" vertical="justify"/>
    </xf>
    <xf numFmtId="171" fontId="13" fillId="0" borderId="1" xfId="4" applyNumberFormat="1" applyFont="1" applyFill="1" applyBorder="1" applyAlignment="1">
      <alignment horizontal="right" vertical="center"/>
    </xf>
    <xf numFmtId="171" fontId="13" fillId="0" borderId="1" xfId="0" applyNumberFormat="1" applyFont="1" applyBorder="1" applyAlignment="1">
      <alignment horizontal="center" vertical="center"/>
    </xf>
    <xf numFmtId="175" fontId="13" fillId="0" borderId="1" xfId="11" applyNumberFormat="1" applyFont="1" applyBorder="1" applyAlignment="1">
      <alignment horizontal="center" vertical="center"/>
    </xf>
    <xf numFmtId="175" fontId="13" fillId="0" borderId="1" xfId="11" applyNumberFormat="1" applyFont="1" applyFill="1" applyBorder="1" applyAlignment="1">
      <alignment horizontal="center" vertical="center"/>
    </xf>
    <xf numFmtId="0" fontId="13" fillId="0" borderId="6" xfId="0" applyFont="1" applyFill="1" applyBorder="1"/>
    <xf numFmtId="175" fontId="13" fillId="0" borderId="6" xfId="11" applyNumberFormat="1" applyFont="1" applyBorder="1" applyAlignment="1">
      <alignment horizontal="center" vertical="center"/>
    </xf>
    <xf numFmtId="175" fontId="13" fillId="0" borderId="6" xfId="11" applyNumberFormat="1" applyFont="1" applyFill="1" applyBorder="1" applyAlignment="1">
      <alignment horizontal="center" vertical="center"/>
    </xf>
    <xf numFmtId="0" fontId="13" fillId="0" borderId="6" xfId="0" applyFont="1" applyFill="1" applyBorder="1" applyAlignment="1">
      <alignment horizontal="justify" vertical="center"/>
    </xf>
    <xf numFmtId="175" fontId="13" fillId="0" borderId="1" xfId="11" applyNumberFormat="1" applyFont="1" applyFill="1" applyBorder="1" applyAlignment="1">
      <alignment horizontal="center" vertical="center" wrapText="1"/>
    </xf>
    <xf numFmtId="14" fontId="13" fillId="0" borderId="1" xfId="0" applyNumberFormat="1" applyFont="1" applyBorder="1"/>
    <xf numFmtId="164" fontId="13" fillId="0" borderId="1" xfId="4" applyFont="1" applyBorder="1" applyAlignment="1">
      <alignment vertical="center"/>
    </xf>
    <xf numFmtId="171" fontId="13" fillId="0" borderId="1" xfId="0" applyNumberFormat="1" applyFont="1" applyFill="1" applyBorder="1" applyAlignment="1">
      <alignment vertical="center"/>
    </xf>
    <xf numFmtId="174" fontId="13" fillId="0" borderId="1" xfId="0" applyNumberFormat="1" applyFont="1" applyBorder="1"/>
    <xf numFmtId="171" fontId="13" fillId="0" borderId="1" xfId="0" applyNumberFormat="1" applyFont="1" applyBorder="1" applyAlignment="1">
      <alignment vertical="center"/>
    </xf>
    <xf numFmtId="174" fontId="13" fillId="0" borderId="1" xfId="0" applyNumberFormat="1" applyFont="1" applyBorder="1" applyAlignment="1">
      <alignment vertical="center"/>
    </xf>
    <xf numFmtId="0" fontId="13" fillId="0" borderId="1" xfId="0" applyFont="1" applyFill="1" applyBorder="1" applyAlignment="1">
      <alignment horizontal="center"/>
    </xf>
    <xf numFmtId="0" fontId="5" fillId="0" borderId="1" xfId="13" applyFont="1" applyFill="1" applyBorder="1" applyAlignment="1">
      <alignment horizontal="center" vertical="center" wrapText="1"/>
    </xf>
    <xf numFmtId="0" fontId="5" fillId="0" borderId="1" xfId="12" applyFont="1" applyFill="1" applyBorder="1" applyAlignment="1">
      <alignment horizontal="left" vertical="center" wrapText="1"/>
    </xf>
    <xf numFmtId="14" fontId="5" fillId="0" borderId="1" xfId="8" applyNumberFormat="1" applyFont="1" applyFill="1" applyBorder="1" applyAlignment="1">
      <alignment horizontal="center" vertical="center" wrapText="1"/>
    </xf>
    <xf numFmtId="173" fontId="5" fillId="0" borderId="1" xfId="8" applyNumberFormat="1" applyFont="1" applyFill="1" applyBorder="1" applyAlignment="1">
      <alignment horizontal="center" vertical="center" wrapText="1"/>
    </xf>
    <xf numFmtId="0" fontId="14" fillId="0" borderId="1" xfId="0" applyFont="1" applyFill="1" applyBorder="1" applyAlignment="1">
      <alignment horizontal="center" wrapText="1"/>
    </xf>
    <xf numFmtId="172" fontId="5" fillId="0" borderId="1" xfId="1" applyNumberFormat="1" applyFont="1" applyFill="1" applyBorder="1" applyAlignment="1">
      <alignment wrapText="1"/>
    </xf>
    <xf numFmtId="14" fontId="13" fillId="0" borderId="1" xfId="0" applyNumberFormat="1" applyFont="1" applyFill="1" applyBorder="1" applyAlignment="1">
      <alignment horizontal="center"/>
    </xf>
    <xf numFmtId="172" fontId="13" fillId="0" borderId="1" xfId="1" applyNumberFormat="1" applyFont="1" applyFill="1" applyBorder="1"/>
    <xf numFmtId="172" fontId="5" fillId="0" borderId="1" xfId="0" applyNumberFormat="1" applyFont="1" applyFill="1" applyBorder="1" applyAlignment="1">
      <alignment vertical="center" wrapText="1"/>
    </xf>
    <xf numFmtId="167" fontId="5" fillId="0" borderId="1" xfId="5" applyNumberFormat="1" applyFont="1" applyFill="1" applyBorder="1" applyAlignment="1">
      <alignment horizontal="right" vertical="center" wrapText="1"/>
    </xf>
    <xf numFmtId="0" fontId="13" fillId="0" borderId="0" xfId="0" applyFont="1" applyFill="1"/>
    <xf numFmtId="0" fontId="5" fillId="0" borderId="1" xfId="13" applyFont="1" applyFill="1" applyBorder="1" applyAlignment="1">
      <alignment horizontal="left" vertical="center" wrapText="1"/>
    </xf>
    <xf numFmtId="42" fontId="5" fillId="0" borderId="1" xfId="0" applyNumberFormat="1" applyFont="1" applyFill="1" applyBorder="1" applyAlignment="1">
      <alignment wrapText="1"/>
    </xf>
    <xf numFmtId="164" fontId="5" fillId="0" borderId="1" xfId="4" applyFont="1" applyFill="1" applyBorder="1" applyAlignment="1">
      <alignment wrapText="1"/>
    </xf>
    <xf numFmtId="3" fontId="5" fillId="0" borderId="1" xfId="8" applyNumberFormat="1" applyFont="1" applyFill="1" applyBorder="1" applyAlignment="1">
      <alignment horizontal="center" vertical="center" wrapText="1"/>
    </xf>
    <xf numFmtId="172" fontId="5" fillId="0" borderId="1" xfId="0" applyNumberFormat="1" applyFont="1" applyFill="1" applyBorder="1" applyAlignment="1">
      <alignment horizontal="center" vertical="center" wrapText="1"/>
    </xf>
    <xf numFmtId="167" fontId="13" fillId="0" borderId="1" xfId="1" applyNumberFormat="1" applyFont="1" applyFill="1" applyBorder="1"/>
    <xf numFmtId="167" fontId="5" fillId="0" borderId="1" xfId="0" applyNumberFormat="1" applyFont="1" applyFill="1" applyBorder="1" applyAlignment="1">
      <alignment wrapText="1"/>
    </xf>
    <xf numFmtId="176" fontId="5" fillId="0" borderId="1" xfId="11" applyNumberFormat="1" applyFont="1" applyFill="1" applyBorder="1" applyAlignment="1">
      <alignment horizontal="center" vertical="center" wrapText="1"/>
    </xf>
    <xf numFmtId="176" fontId="13" fillId="0" borderId="1" xfId="0" applyNumberFormat="1" applyFont="1" applyFill="1" applyBorder="1"/>
    <xf numFmtId="3" fontId="13" fillId="0" borderId="1" xfId="0" applyNumberFormat="1" applyFont="1" applyFill="1" applyBorder="1"/>
    <xf numFmtId="167" fontId="13" fillId="0" borderId="1" xfId="0" applyNumberFormat="1" applyFont="1" applyFill="1" applyBorder="1"/>
    <xf numFmtId="172" fontId="13" fillId="0" borderId="1" xfId="5" applyNumberFormat="1" applyFont="1" applyFill="1" applyBorder="1"/>
    <xf numFmtId="0" fontId="5" fillId="0" borderId="1" xfId="11" applyNumberFormat="1" applyFont="1" applyFill="1" applyBorder="1" applyAlignment="1">
      <alignment horizontal="center" vertical="center" wrapText="1"/>
    </xf>
    <xf numFmtId="43" fontId="5" fillId="0" borderId="1" xfId="11"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172" fontId="5" fillId="0" borderId="6" xfId="0" applyNumberFormat="1" applyFont="1" applyFill="1" applyBorder="1" applyAlignment="1">
      <alignment vertical="center"/>
    </xf>
    <xf numFmtId="172" fontId="5" fillId="0" borderId="6" xfId="14" applyNumberFormat="1" applyFont="1" applyFill="1" applyBorder="1" applyAlignment="1">
      <alignment vertical="center" wrapText="1"/>
    </xf>
    <xf numFmtId="167" fontId="5" fillId="0" borderId="6" xfId="5" applyNumberFormat="1" applyFont="1" applyFill="1" applyBorder="1" applyAlignment="1">
      <alignment horizontal="left" vertical="center" wrapText="1"/>
    </xf>
    <xf numFmtId="14" fontId="5" fillId="0" borderId="6" xfId="0" applyNumberFormat="1" applyFont="1" applyFill="1" applyBorder="1" applyAlignment="1">
      <alignment horizontal="center" vertical="center" wrapText="1"/>
    </xf>
    <xf numFmtId="167" fontId="5" fillId="0" borderId="6" xfId="5" applyNumberFormat="1" applyFont="1" applyFill="1" applyBorder="1" applyAlignment="1">
      <alignment horizontal="center" vertical="center" wrapText="1"/>
    </xf>
    <xf numFmtId="172" fontId="5" fillId="0" borderId="1" xfId="14" applyNumberFormat="1" applyFont="1" applyFill="1" applyBorder="1" applyAlignment="1">
      <alignment horizontal="center" vertical="center" wrapText="1"/>
    </xf>
    <xf numFmtId="172" fontId="5" fillId="0" borderId="1" xfId="0" applyNumberFormat="1" applyFont="1" applyFill="1" applyBorder="1" applyAlignment="1">
      <alignment vertical="center"/>
    </xf>
    <xf numFmtId="172" fontId="5" fillId="0" borderId="1" xfId="14" applyNumberFormat="1" applyFont="1" applyFill="1" applyBorder="1" applyAlignment="1">
      <alignment vertical="center" wrapText="1"/>
    </xf>
    <xf numFmtId="167" fontId="5" fillId="0" borderId="1" xfId="5" applyNumberFormat="1" applyFont="1" applyFill="1" applyBorder="1" applyAlignment="1">
      <alignment horizontal="left" vertical="center" wrapText="1"/>
    </xf>
    <xf numFmtId="177" fontId="5" fillId="0" borderId="1" xfId="14" applyNumberFormat="1" applyFont="1" applyFill="1" applyBorder="1" applyAlignment="1">
      <alignment horizontal="center" vertical="center"/>
    </xf>
    <xf numFmtId="0" fontId="23" fillId="0" borderId="1"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172" fontId="24" fillId="0" borderId="4" xfId="14" applyNumberFormat="1" applyFont="1" applyFill="1" applyBorder="1" applyAlignment="1">
      <alignment horizontal="center" vertical="center" wrapText="1"/>
    </xf>
    <xf numFmtId="172" fontId="24" fillId="0" borderId="4" xfId="15"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67" fontId="5" fillId="0" borderId="1" xfId="14" applyNumberFormat="1" applyFont="1" applyFill="1" applyBorder="1" applyAlignment="1">
      <alignment horizontal="center" vertical="center" wrapText="1"/>
    </xf>
    <xf numFmtId="14" fontId="5" fillId="0" borderId="1" xfId="14"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14" fontId="5" fillId="0" borderId="4" xfId="14" applyNumberFormat="1" applyFont="1" applyFill="1" applyBorder="1" applyAlignment="1">
      <alignment horizontal="center" vertical="center" wrapText="1"/>
    </xf>
    <xf numFmtId="178" fontId="5" fillId="0" borderId="1" xfId="14" applyNumberFormat="1" applyFont="1" applyFill="1" applyBorder="1" applyAlignment="1">
      <alignment horizontal="center" vertical="center"/>
    </xf>
    <xf numFmtId="167" fontId="14" fillId="0" borderId="1" xfId="5" applyNumberFormat="1" applyFont="1" applyFill="1" applyBorder="1" applyAlignment="1">
      <alignment horizontal="center" vertical="center" wrapText="1"/>
    </xf>
    <xf numFmtId="0" fontId="5" fillId="0" borderId="0" xfId="0" applyFont="1" applyFill="1" applyAlignment="1">
      <alignment wrapText="1"/>
    </xf>
    <xf numFmtId="167" fontId="5" fillId="0" borderId="1" xfId="5" applyNumberFormat="1" applyFont="1" applyFill="1" applyBorder="1" applyAlignment="1">
      <alignment wrapText="1"/>
    </xf>
    <xf numFmtId="173" fontId="5"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72" fontId="5" fillId="0" borderId="1" xfId="5" applyNumberFormat="1" applyFont="1" applyFill="1" applyBorder="1" applyAlignment="1">
      <alignment vertical="center"/>
    </xf>
    <xf numFmtId="167" fontId="5" fillId="0" borderId="1" xfId="0" applyNumberFormat="1" applyFont="1" applyFill="1" applyBorder="1" applyAlignment="1">
      <alignment vertical="center" wrapText="1"/>
    </xf>
    <xf numFmtId="0" fontId="22" fillId="0" borderId="1" xfId="16" applyFont="1" applyFill="1" applyBorder="1" applyAlignment="1">
      <alignment horizontal="center" vertical="center"/>
    </xf>
    <xf numFmtId="0" fontId="13" fillId="0" borderId="1" xfId="16" applyFont="1" applyFill="1" applyBorder="1" applyAlignment="1">
      <alignment vertical="center"/>
    </xf>
    <xf numFmtId="167" fontId="13" fillId="0" borderId="1" xfId="17" applyNumberFormat="1" applyFont="1" applyFill="1" applyBorder="1" applyAlignment="1">
      <alignment vertical="center"/>
    </xf>
    <xf numFmtId="0" fontId="13" fillId="0" borderId="1" xfId="16" applyFont="1" applyFill="1" applyBorder="1" applyAlignment="1">
      <alignment horizontal="center" vertical="center"/>
    </xf>
    <xf numFmtId="167" fontId="5" fillId="0" borderId="1" xfId="5" applyNumberFormat="1" applyFont="1" applyFill="1" applyBorder="1" applyAlignment="1">
      <alignment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3"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xf>
    <xf numFmtId="167" fontId="5" fillId="0" borderId="1" xfId="5" applyNumberFormat="1" applyFont="1" applyFill="1" applyBorder="1"/>
    <xf numFmtId="167" fontId="5" fillId="0" borderId="1" xfId="5" applyNumberFormat="1" applyFont="1" applyFill="1" applyBorder="1" applyAlignment="1">
      <alignment horizontal="center" vertical="center"/>
    </xf>
    <xf numFmtId="2" fontId="5" fillId="0" borderId="1" xfId="0" applyNumberFormat="1" applyFont="1" applyFill="1" applyBorder="1" applyAlignment="1">
      <alignment horizontal="center" vertical="center" wrapText="1"/>
    </xf>
    <xf numFmtId="0" fontId="13" fillId="0" borderId="0" xfId="0" applyFont="1" applyFill="1" applyAlignment="1">
      <alignment vertical="center"/>
    </xf>
    <xf numFmtId="167" fontId="13" fillId="0" borderId="1" xfId="5" applyNumberFormat="1" applyFont="1" applyFill="1" applyBorder="1" applyAlignment="1">
      <alignment horizontal="center" vertical="center"/>
    </xf>
    <xf numFmtId="14" fontId="5" fillId="0" borderId="1" xfId="0" applyNumberFormat="1" applyFont="1" applyFill="1" applyBorder="1" applyAlignment="1">
      <alignment vertical="center"/>
    </xf>
    <xf numFmtId="179" fontId="5" fillId="0" borderId="1" xfId="0" applyNumberFormat="1" applyFont="1" applyFill="1" applyBorder="1" applyAlignment="1">
      <alignment vertical="center" wrapText="1"/>
    </xf>
    <xf numFmtId="49" fontId="5" fillId="0" borderId="1" xfId="0" applyNumberFormat="1" applyFont="1" applyFill="1" applyBorder="1" applyAlignment="1">
      <alignment horizontal="justify" vertical="justify"/>
    </xf>
    <xf numFmtId="167" fontId="5" fillId="0" borderId="1" xfId="0" applyNumberFormat="1" applyFont="1" applyFill="1" applyBorder="1" applyAlignment="1">
      <alignment horizontal="center" vertical="center"/>
    </xf>
    <xf numFmtId="167" fontId="14" fillId="0" borderId="1" xfId="5" applyNumberFormat="1"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168" fontId="14" fillId="0" borderId="1" xfId="5" applyNumberFormat="1" applyFont="1" applyFill="1" applyBorder="1" applyAlignment="1">
      <alignment vertical="center" wrapText="1"/>
    </xf>
    <xf numFmtId="167" fontId="14" fillId="0" borderId="1" xfId="0" applyNumberFormat="1" applyFont="1" applyFill="1" applyBorder="1" applyAlignment="1">
      <alignment vertical="center" wrapText="1"/>
    </xf>
    <xf numFmtId="0" fontId="14" fillId="0" borderId="1" xfId="0" applyFont="1" applyFill="1" applyBorder="1"/>
    <xf numFmtId="167" fontId="13" fillId="0" borderId="1" xfId="0" applyNumberFormat="1" applyFont="1" applyFill="1" applyBorder="1" applyAlignment="1">
      <alignment horizontal="center" vertical="center"/>
    </xf>
    <xf numFmtId="41" fontId="5" fillId="0" borderId="1" xfId="2" applyFont="1" applyFill="1" applyBorder="1" applyAlignme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Border="1" applyAlignment="1">
      <alignment horizontal="justify" vertical="center"/>
    </xf>
    <xf numFmtId="0" fontId="13" fillId="0" borderId="7" xfId="0" applyFont="1" applyBorder="1" applyAlignment="1">
      <alignment horizontal="center" vertical="center"/>
    </xf>
    <xf numFmtId="0" fontId="14" fillId="3" borderId="7" xfId="0" applyFont="1" applyFill="1" applyBorder="1" applyAlignment="1">
      <alignment horizontal="center"/>
    </xf>
    <xf numFmtId="0" fontId="5" fillId="3" borderId="7" xfId="0" applyFont="1" applyFill="1" applyBorder="1"/>
    <xf numFmtId="41" fontId="5" fillId="3" borderId="7" xfId="2" applyFont="1" applyFill="1" applyBorder="1"/>
    <xf numFmtId="41" fontId="5" fillId="3" borderId="7" xfId="2" applyFont="1" applyFill="1" applyBorder="1" applyAlignment="1">
      <alignment horizontal="right"/>
    </xf>
    <xf numFmtId="14" fontId="5" fillId="3" borderId="7" xfId="0" applyNumberFormat="1" applyFont="1" applyFill="1" applyBorder="1"/>
    <xf numFmtId="0" fontId="5" fillId="3" borderId="7" xfId="0" applyFont="1" applyFill="1" applyBorder="1" applyAlignment="1">
      <alignment horizontal="center"/>
    </xf>
    <xf numFmtId="41" fontId="5" fillId="3" borderId="7" xfId="2" applyFont="1" applyFill="1" applyBorder="1" applyAlignment="1">
      <alignment horizontal="center"/>
    </xf>
    <xf numFmtId="41" fontId="5" fillId="3" borderId="7" xfId="2" applyFont="1" applyFill="1" applyBorder="1" applyAlignment="1">
      <alignment horizontal="center" vertical="center" wrapText="1"/>
    </xf>
    <xf numFmtId="0" fontId="14" fillId="3" borderId="1" xfId="0" applyFont="1" applyFill="1" applyBorder="1" applyAlignment="1">
      <alignment horizontal="center"/>
    </xf>
    <xf numFmtId="0" fontId="5" fillId="3" borderId="1" xfId="0" applyFont="1" applyFill="1" applyBorder="1"/>
    <xf numFmtId="41" fontId="5" fillId="3" borderId="1" xfId="2" applyFont="1" applyFill="1" applyBorder="1"/>
    <xf numFmtId="41" fontId="5" fillId="3" borderId="1" xfId="2" applyFont="1" applyFill="1" applyBorder="1" applyAlignment="1">
      <alignment horizontal="right"/>
    </xf>
    <xf numFmtId="14" fontId="5" fillId="3" borderId="1" xfId="0" applyNumberFormat="1" applyFont="1" applyFill="1" applyBorder="1"/>
    <xf numFmtId="41" fontId="5" fillId="3" borderId="1" xfId="2" applyFont="1" applyFill="1" applyBorder="1" applyAlignment="1">
      <alignment horizontal="center"/>
    </xf>
    <xf numFmtId="41" fontId="5" fillId="3" borderId="1" xfId="2" applyFont="1" applyFill="1" applyBorder="1" applyAlignment="1">
      <alignment horizontal="center" vertical="center" wrapText="1"/>
    </xf>
    <xf numFmtId="0" fontId="14" fillId="3" borderId="1" xfId="0" applyFont="1" applyFill="1" applyBorder="1" applyAlignment="1">
      <alignment horizontal="left"/>
    </xf>
    <xf numFmtId="0" fontId="20" fillId="3" borderId="1" xfId="0" applyFont="1" applyFill="1" applyBorder="1" applyAlignment="1">
      <alignment horizontal="center" vertical="top"/>
    </xf>
    <xf numFmtId="0" fontId="14" fillId="3" borderId="0" xfId="0" applyFont="1" applyFill="1" applyBorder="1" applyAlignment="1">
      <alignment horizontal="center"/>
    </xf>
    <xf numFmtId="0" fontId="5" fillId="3" borderId="0" xfId="0" applyFont="1" applyFill="1" applyBorder="1"/>
    <xf numFmtId="41" fontId="5" fillId="3" borderId="0" xfId="2" applyFont="1" applyFill="1" applyBorder="1"/>
    <xf numFmtId="41" fontId="5" fillId="3" borderId="0" xfId="2" applyFont="1" applyFill="1" applyBorder="1" applyAlignment="1">
      <alignment horizontal="right"/>
    </xf>
    <xf numFmtId="14" fontId="5" fillId="3" borderId="0" xfId="0" applyNumberFormat="1" applyFont="1" applyFill="1" applyBorder="1"/>
    <xf numFmtId="0" fontId="5" fillId="3" borderId="0" xfId="0" applyFont="1" applyFill="1" applyBorder="1" applyAlignment="1">
      <alignment horizontal="center"/>
    </xf>
    <xf numFmtId="41" fontId="5" fillId="3" borderId="0" xfId="2" applyFont="1" applyFill="1" applyBorder="1" applyAlignment="1">
      <alignment horizontal="center"/>
    </xf>
    <xf numFmtId="15" fontId="5" fillId="3" borderId="1" xfId="0" applyNumberFormat="1" applyFont="1" applyFill="1" applyBorder="1" applyAlignment="1">
      <alignment horizontal="center"/>
    </xf>
    <xf numFmtId="0" fontId="5" fillId="3" borderId="7" xfId="0" applyFont="1" applyFill="1" applyBorder="1" applyAlignment="1">
      <alignment horizontal="justify" vertical="justify"/>
    </xf>
    <xf numFmtId="0" fontId="5" fillId="3" borderId="7" xfId="0" applyFont="1" applyFill="1" applyBorder="1" applyAlignment="1">
      <alignment horizontal="justify" vertical="center"/>
    </xf>
    <xf numFmtId="0" fontId="5" fillId="3" borderId="7" xfId="0" applyFont="1" applyFill="1" applyBorder="1" applyAlignment="1">
      <alignment horizontal="right" vertical="justify"/>
    </xf>
    <xf numFmtId="0" fontId="5" fillId="3" borderId="1" xfId="0" applyFont="1" applyFill="1" applyBorder="1" applyAlignment="1">
      <alignment horizontal="justify" vertical="justify"/>
    </xf>
    <xf numFmtId="0" fontId="5" fillId="3" borderId="1" xfId="0" applyFont="1" applyFill="1" applyBorder="1" applyAlignment="1">
      <alignment horizontal="justify" vertical="center"/>
    </xf>
    <xf numFmtId="0" fontId="27" fillId="3" borderId="7" xfId="0" applyFont="1" applyFill="1" applyBorder="1" applyAlignment="1">
      <alignment horizontal="center"/>
    </xf>
    <xf numFmtId="14" fontId="28" fillId="3" borderId="7" xfId="0" applyNumberFormat="1" applyFont="1" applyFill="1" applyBorder="1"/>
    <xf numFmtId="0" fontId="28" fillId="3" borderId="7" xfId="0" applyFont="1" applyFill="1" applyBorder="1"/>
    <xf numFmtId="0" fontId="28" fillId="3" borderId="7" xfId="0" applyFont="1" applyFill="1" applyBorder="1" applyAlignment="1">
      <alignment horizontal="center"/>
    </xf>
    <xf numFmtId="0" fontId="27" fillId="3" borderId="1" xfId="0" applyFont="1" applyFill="1" applyBorder="1" applyAlignment="1">
      <alignment horizontal="center"/>
    </xf>
    <xf numFmtId="14" fontId="28" fillId="3" borderId="1" xfId="0" applyNumberFormat="1" applyFont="1" applyFill="1" applyBorder="1"/>
    <xf numFmtId="0" fontId="28" fillId="3" borderId="1" xfId="0" applyFont="1" applyFill="1" applyBorder="1"/>
    <xf numFmtId="0" fontId="28" fillId="3" borderId="1" xfId="0" applyFont="1" applyFill="1" applyBorder="1" applyAlignment="1">
      <alignment horizontal="center"/>
    </xf>
    <xf numFmtId="3" fontId="28" fillId="3" borderId="1" xfId="0" applyNumberFormat="1" applyFont="1" applyFill="1" applyBorder="1"/>
    <xf numFmtId="0" fontId="22" fillId="3" borderId="1" xfId="0" applyFont="1" applyFill="1" applyBorder="1" applyAlignment="1">
      <alignment horizontal="center"/>
    </xf>
    <xf numFmtId="0" fontId="27" fillId="3" borderId="0" xfId="0" applyFont="1" applyFill="1" applyBorder="1" applyAlignment="1">
      <alignment horizontal="center"/>
    </xf>
    <xf numFmtId="14" fontId="28" fillId="3" borderId="0" xfId="0" applyNumberFormat="1" applyFont="1" applyFill="1" applyBorder="1"/>
    <xf numFmtId="0" fontId="28" fillId="3" borderId="0" xfId="0" applyFont="1" applyFill="1" applyBorder="1"/>
    <xf numFmtId="0" fontId="28" fillId="3" borderId="0" xfId="0" applyFont="1" applyFill="1" applyBorder="1" applyAlignment="1">
      <alignment horizontal="center"/>
    </xf>
    <xf numFmtId="14" fontId="5" fillId="3" borderId="1" xfId="0" applyNumberFormat="1" applyFont="1" applyFill="1" applyBorder="1" applyAlignment="1">
      <alignment horizontal="center" vertical="center" wrapText="1"/>
    </xf>
    <xf numFmtId="167" fontId="5" fillId="3" borderId="1" xfId="0" applyNumberFormat="1" applyFont="1" applyFill="1" applyBorder="1" applyAlignment="1">
      <alignment vertical="center" wrapText="1"/>
    </xf>
    <xf numFmtId="167" fontId="28" fillId="3" borderId="1" xfId="5" applyNumberFormat="1" applyFont="1" applyFill="1" applyBorder="1"/>
    <xf numFmtId="0" fontId="29" fillId="0" borderId="1" xfId="0" applyFont="1" applyFill="1" applyBorder="1" applyAlignment="1">
      <alignment horizontal="center" vertical="center" wrapText="1"/>
    </xf>
    <xf numFmtId="0" fontId="30" fillId="0" borderId="1" xfId="18" applyFont="1" applyFill="1" applyBorder="1" applyAlignment="1">
      <alignment horizontal="center" vertical="center" wrapText="1"/>
    </xf>
    <xf numFmtId="0" fontId="29" fillId="0" borderId="1" xfId="18" applyFont="1" applyFill="1" applyBorder="1" applyAlignment="1">
      <alignment horizontal="center" vertical="center" wrapText="1"/>
    </xf>
    <xf numFmtId="0" fontId="29" fillId="0" borderId="1" xfId="18" quotePrefix="1" applyFont="1" applyFill="1" applyBorder="1" applyAlignment="1">
      <alignment horizontal="center" vertical="center" wrapText="1"/>
    </xf>
    <xf numFmtId="0" fontId="29" fillId="0" borderId="1" xfId="18" quotePrefix="1" applyFont="1" applyFill="1" applyBorder="1" applyAlignment="1">
      <alignment horizontal="left" vertical="center" wrapText="1"/>
    </xf>
    <xf numFmtId="42" fontId="29" fillId="0" borderId="1" xfId="0" applyNumberFormat="1" applyFont="1" applyFill="1" applyBorder="1" applyAlignment="1">
      <alignment horizontal="center" vertical="center" wrapText="1"/>
    </xf>
    <xf numFmtId="41" fontId="29" fillId="0" borderId="1" xfId="2"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164" fontId="29" fillId="0" borderId="1" xfId="4" applyFont="1" applyFill="1" applyBorder="1" applyAlignment="1">
      <alignment horizontal="center" vertical="center" wrapText="1"/>
    </xf>
    <xf numFmtId="167" fontId="29" fillId="0" borderId="1" xfId="5"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1" fontId="29" fillId="0" borderId="1" xfId="0" applyNumberFormat="1" applyFont="1" applyFill="1" applyBorder="1" applyAlignment="1">
      <alignment horizontal="center" vertical="center" wrapText="1"/>
    </xf>
    <xf numFmtId="0" fontId="29" fillId="0" borderId="1" xfId="0" quotePrefix="1" applyFont="1" applyFill="1" applyBorder="1" applyAlignment="1">
      <alignment horizontal="center" vertical="center" wrapText="1"/>
    </xf>
    <xf numFmtId="14" fontId="29" fillId="4" borderId="1" xfId="0" applyNumberFormat="1" applyFont="1" applyFill="1" applyBorder="1" applyAlignment="1">
      <alignment horizontal="center" vertical="center" wrapText="1"/>
    </xf>
    <xf numFmtId="14" fontId="29" fillId="0" borderId="1" xfId="5"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43" fontId="29" fillId="0" borderId="1" xfId="1" applyFont="1" applyFill="1" applyBorder="1" applyAlignment="1">
      <alignment horizontal="center" vertical="center" wrapText="1"/>
    </xf>
    <xf numFmtId="180" fontId="29" fillId="0" borderId="1" xfId="0" applyNumberFormat="1" applyFont="1" applyFill="1" applyBorder="1" applyAlignment="1">
      <alignment horizontal="center" vertical="center" wrapText="1"/>
    </xf>
    <xf numFmtId="0" fontId="29" fillId="0" borderId="1" xfId="0" quotePrefix="1" applyFont="1" applyFill="1" applyBorder="1" applyAlignment="1">
      <alignment horizontal="left" vertical="center" wrapText="1"/>
    </xf>
    <xf numFmtId="1" fontId="29" fillId="0" borderId="1" xfId="18" applyNumberFormat="1" applyFont="1" applyFill="1" applyBorder="1" applyAlignment="1">
      <alignment horizontal="center" vertical="center" wrapText="1"/>
    </xf>
    <xf numFmtId="0" fontId="30" fillId="0" borderId="1" xfId="18" quotePrefix="1" applyFont="1" applyFill="1" applyBorder="1" applyAlignment="1">
      <alignment horizontal="center" vertical="center" wrapText="1"/>
    </xf>
    <xf numFmtId="0" fontId="29" fillId="0" borderId="0" xfId="0" applyFont="1" applyFill="1" applyAlignment="1">
      <alignment horizontal="center" vertical="center" wrapText="1"/>
    </xf>
    <xf numFmtId="0" fontId="31" fillId="0" borderId="1" xfId="0" applyFont="1" applyFill="1" applyBorder="1" applyAlignment="1">
      <alignment horizontal="center" vertical="center" wrapText="1"/>
    </xf>
    <xf numFmtId="181" fontId="29" fillId="0" borderId="1" xfId="0" applyNumberFormat="1" applyFont="1" applyFill="1" applyBorder="1" applyAlignment="1">
      <alignment horizontal="center" vertical="center" wrapText="1"/>
    </xf>
    <xf numFmtId="42" fontId="29" fillId="0" borderId="1" xfId="4" applyNumberFormat="1" applyFont="1" applyFill="1" applyBorder="1" applyAlignment="1">
      <alignment horizontal="center" vertical="center" wrapText="1"/>
    </xf>
    <xf numFmtId="180" fontId="29" fillId="0" borderId="1" xfId="4"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49" fontId="29" fillId="0" borderId="1" xfId="18" quotePrefix="1" applyNumberFormat="1" applyFont="1" applyFill="1" applyBorder="1" applyAlignment="1">
      <alignment horizontal="left" vertical="center" wrapText="1"/>
    </xf>
    <xf numFmtId="49" fontId="29" fillId="0"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3" borderId="1" xfId="18" applyFont="1" applyFill="1" applyBorder="1" applyAlignment="1">
      <alignment horizontal="center" vertical="center" wrapText="1"/>
    </xf>
    <xf numFmtId="0" fontId="29" fillId="3" borderId="1" xfId="18" applyFont="1" applyFill="1" applyBorder="1" applyAlignment="1">
      <alignment horizontal="center" vertical="center" wrapText="1"/>
    </xf>
    <xf numFmtId="0" fontId="29" fillId="3" borderId="1" xfId="18" quotePrefix="1" applyFont="1" applyFill="1" applyBorder="1" applyAlignment="1">
      <alignment horizontal="center" vertical="center" wrapText="1"/>
    </xf>
    <xf numFmtId="0" fontId="29" fillId="3" borderId="1" xfId="18" quotePrefix="1" applyFont="1" applyFill="1" applyBorder="1" applyAlignment="1">
      <alignment horizontal="left" vertical="center" wrapText="1"/>
    </xf>
    <xf numFmtId="42" fontId="29" fillId="3" borderId="1" xfId="0" applyNumberFormat="1" applyFont="1" applyFill="1" applyBorder="1" applyAlignment="1">
      <alignment horizontal="center" vertical="center" wrapText="1"/>
    </xf>
    <xf numFmtId="41" fontId="29" fillId="3" borderId="1" xfId="2" applyFont="1" applyFill="1" applyBorder="1" applyAlignment="1">
      <alignment horizontal="center" vertical="center" wrapText="1"/>
    </xf>
    <xf numFmtId="14" fontId="29" fillId="3" borderId="1" xfId="0" applyNumberFormat="1" applyFont="1" applyFill="1" applyBorder="1" applyAlignment="1">
      <alignment horizontal="center" vertical="center" wrapText="1"/>
    </xf>
    <xf numFmtId="1" fontId="29" fillId="3" borderId="1" xfId="0" applyNumberFormat="1" applyFont="1" applyFill="1" applyBorder="1" applyAlignment="1">
      <alignment horizontal="center" vertical="center" wrapText="1"/>
    </xf>
    <xf numFmtId="14" fontId="29" fillId="3" borderId="1" xfId="5" applyNumberFormat="1" applyFont="1" applyFill="1" applyBorder="1" applyAlignment="1">
      <alignment horizontal="center" vertical="center" wrapText="1"/>
    </xf>
    <xf numFmtId="164" fontId="29" fillId="3" borderId="1" xfId="4" applyFont="1" applyFill="1" applyBorder="1" applyAlignment="1">
      <alignment horizontal="center" vertical="center" wrapText="1"/>
    </xf>
    <xf numFmtId="167" fontId="29" fillId="3" borderId="1" xfId="5"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1" fontId="29" fillId="3" borderId="1" xfId="0"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0" fontId="28" fillId="0" borderId="1" xfId="0" applyFont="1" applyFill="1" applyBorder="1"/>
    <xf numFmtId="14" fontId="28" fillId="0" borderId="1" xfId="0" applyNumberFormat="1" applyFont="1" applyFill="1" applyBorder="1" applyAlignment="1">
      <alignment horizontal="center" vertical="center"/>
    </xf>
    <xf numFmtId="164" fontId="28" fillId="0" borderId="1" xfId="4" applyFont="1" applyFill="1" applyBorder="1" applyAlignment="1">
      <alignment horizontal="right" vertical="center"/>
    </xf>
    <xf numFmtId="14" fontId="28" fillId="0" borderId="1" xfId="0" applyNumberFormat="1" applyFont="1" applyFill="1" applyBorder="1"/>
    <xf numFmtId="41" fontId="28" fillId="0" borderId="1" xfId="2" applyFont="1" applyFill="1" applyBorder="1"/>
    <xf numFmtId="164" fontId="28" fillId="0" borderId="1" xfId="4" applyFont="1" applyFill="1" applyBorder="1" applyAlignment="1">
      <alignment vertical="center"/>
    </xf>
    <xf numFmtId="43" fontId="29" fillId="3"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41" fontId="2" fillId="0" borderId="0" xfId="2"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1" fontId="2" fillId="0" borderId="12" xfId="2" applyFont="1" applyFill="1" applyBorder="1" applyAlignment="1">
      <alignment horizontal="center" vertical="center" wrapText="1"/>
    </xf>
    <xf numFmtId="0" fontId="2" fillId="0" borderId="9" xfId="0" applyFont="1" applyFill="1" applyBorder="1" applyAlignment="1">
      <alignment horizontal="center" vertical="center" wrapText="1"/>
    </xf>
    <xf numFmtId="0" fontId="14" fillId="2" borderId="1" xfId="0" applyFont="1" applyFill="1" applyBorder="1" applyAlignment="1">
      <alignment horizontal="center" vertical="center" wrapText="1" readingOrder="1"/>
    </xf>
    <xf numFmtId="0" fontId="14" fillId="2" borderId="6" xfId="0" applyFont="1" applyFill="1" applyBorder="1" applyAlignment="1">
      <alignment horizontal="center" vertical="center" wrapText="1" readingOrder="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14" fontId="13" fillId="0" borderId="7" xfId="0" applyNumberFormat="1" applyFont="1" applyBorder="1" applyAlignment="1">
      <alignment horizontal="center" vertical="center"/>
    </xf>
    <xf numFmtId="164" fontId="13" fillId="0" borderId="7" xfId="4" applyFont="1" applyBorder="1" applyAlignment="1">
      <alignment horizontal="center" vertical="center"/>
    </xf>
    <xf numFmtId="164" fontId="13" fillId="0" borderId="6" xfId="4" applyFont="1" applyBorder="1" applyAlignment="1">
      <alignment horizontal="center" vertical="center"/>
    </xf>
    <xf numFmtId="0" fontId="13" fillId="0" borderId="7" xfId="0" applyFont="1" applyBorder="1" applyAlignment="1">
      <alignment horizontal="center"/>
    </xf>
    <xf numFmtId="0" fontId="13" fillId="0" borderId="6" xfId="0" applyFont="1" applyBorder="1" applyAlignment="1">
      <alignment horizontal="center"/>
    </xf>
    <xf numFmtId="171" fontId="13" fillId="0" borderId="7" xfId="0" applyNumberFormat="1" applyFont="1" applyFill="1" applyBorder="1" applyAlignment="1">
      <alignment horizontal="center" vertical="center"/>
    </xf>
    <xf numFmtId="171" fontId="13" fillId="0" borderId="6" xfId="0" applyNumberFormat="1" applyFont="1" applyFill="1" applyBorder="1" applyAlignment="1">
      <alignment horizontal="center" vertical="center"/>
    </xf>
    <xf numFmtId="172" fontId="13" fillId="0" borderId="7" xfId="11" applyNumberFormat="1" applyFont="1" applyFill="1" applyBorder="1" applyAlignment="1">
      <alignment horizontal="center" vertical="center"/>
    </xf>
    <xf numFmtId="172" fontId="13" fillId="0" borderId="6" xfId="11" applyNumberFormat="1" applyFont="1" applyFill="1" applyBorder="1" applyAlignment="1">
      <alignment horizontal="center" vertical="center"/>
    </xf>
    <xf numFmtId="0" fontId="13" fillId="0" borderId="1" xfId="0" applyFont="1" applyBorder="1" applyAlignment="1">
      <alignment horizontal="center"/>
    </xf>
    <xf numFmtId="171" fontId="13" fillId="0" borderId="1" xfId="0" applyNumberFormat="1" applyFont="1" applyBorder="1" applyAlignment="1">
      <alignment horizontal="center"/>
    </xf>
    <xf numFmtId="171" fontId="13" fillId="0" borderId="6" xfId="0" applyNumberFormat="1" applyFont="1" applyBorder="1" applyAlignment="1">
      <alignment horizontal="center"/>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0" borderId="7" xfId="0" applyNumberFormat="1" applyFont="1" applyBorder="1" applyAlignment="1">
      <alignment horizontal="center" vertical="center"/>
    </xf>
    <xf numFmtId="0" fontId="13" fillId="0" borderId="7" xfId="0" applyFont="1" applyFill="1" applyBorder="1" applyAlignment="1">
      <alignment horizontal="center" vertical="center" wrapText="1"/>
    </xf>
    <xf numFmtId="0" fontId="13" fillId="0" borderId="1" xfId="0" applyFont="1" applyBorder="1" applyAlignment="1">
      <alignment horizontal="justify" vertical="center"/>
    </xf>
    <xf numFmtId="0" fontId="13" fillId="0" borderId="6" xfId="0" applyFont="1" applyBorder="1" applyAlignment="1">
      <alignment horizontal="justify" vertical="center"/>
    </xf>
    <xf numFmtId="0" fontId="13" fillId="0" borderId="1" xfId="0" applyFont="1" applyBorder="1" applyAlignment="1">
      <alignment horizontal="center" vertical="center"/>
    </xf>
    <xf numFmtId="164" fontId="13" fillId="0" borderId="1" xfId="4" applyFont="1" applyBorder="1" applyAlignment="1">
      <alignment horizontal="center"/>
    </xf>
    <xf numFmtId="164" fontId="13" fillId="0" borderId="6" xfId="4" applyFont="1" applyBorder="1" applyAlignment="1">
      <alignment horizontal="center"/>
    </xf>
    <xf numFmtId="14" fontId="13" fillId="0" borderId="1" xfId="0" applyNumberFormat="1" applyFont="1" applyBorder="1" applyAlignment="1">
      <alignment horizontal="center" vertical="center"/>
    </xf>
    <xf numFmtId="14" fontId="13" fillId="0" borderId="6" xfId="0" applyNumberFormat="1" applyFont="1" applyBorder="1" applyAlignment="1">
      <alignment horizontal="center" vertical="center"/>
    </xf>
    <xf numFmtId="0" fontId="13" fillId="0" borderId="1" xfId="0" applyFont="1" applyFill="1" applyBorder="1" applyAlignment="1">
      <alignment horizontal="center" vertical="center"/>
    </xf>
    <xf numFmtId="175" fontId="13" fillId="0" borderId="1" xfId="0" applyNumberFormat="1" applyFont="1" applyFill="1" applyBorder="1" applyAlignment="1">
      <alignment horizontal="center" vertical="center"/>
    </xf>
    <xf numFmtId="0" fontId="13" fillId="0" borderId="7" xfId="0" applyFont="1" applyFill="1" applyBorder="1" applyAlignment="1">
      <alignment horizontal="center"/>
    </xf>
    <xf numFmtId="0" fontId="13" fillId="0" borderId="6" xfId="0" applyFont="1" applyFill="1" applyBorder="1" applyAlignment="1">
      <alignment horizontal="center"/>
    </xf>
  </cellXfs>
  <cellStyles count="19">
    <cellStyle name="Millares" xfId="1" builtinId="3"/>
    <cellStyle name="Millares [0]" xfId="2" builtinId="6"/>
    <cellStyle name="Millares 10" xfId="17" xr:uid="{C283C5BE-278F-4613-B6C9-1A7BA4670CA7}"/>
    <cellStyle name="Millares 11" xfId="6" xr:uid="{A8D645A4-3073-4EBD-A16C-793BF2C690F9}"/>
    <cellStyle name="Millares 2" xfId="11" xr:uid="{1395FD6D-5109-49D8-877E-27EBFCDA7675}"/>
    <cellStyle name="Millares 2 3" xfId="14" xr:uid="{001CF925-6522-4F3A-A60D-908FAB4D5798}"/>
    <cellStyle name="Millares 2 3 2" xfId="15" xr:uid="{48FB9EE2-D1AD-45D8-9EBB-02428E40B93B}"/>
    <cellStyle name="Millares 5" xfId="7" xr:uid="{44B41920-5940-41D6-811B-5FFFEDCF0FC2}"/>
    <cellStyle name="Millares 6" xfId="5" xr:uid="{B0271491-0667-4482-9E46-814EAE6501A0}"/>
    <cellStyle name="Millares 6 2" xfId="10" xr:uid="{4AE5BDCD-7CDA-43B0-B58B-D962A3788045}"/>
    <cellStyle name="Moneda" xfId="3" builtinId="4"/>
    <cellStyle name="Moneda [0]" xfId="4" builtinId="7"/>
    <cellStyle name="Moneda 3 2" xfId="8" xr:uid="{63CACB46-8C73-404E-ACAC-CD7A1C84075B}"/>
    <cellStyle name="Normal" xfId="0" builtinId="0"/>
    <cellStyle name="Normal 2 2" xfId="12" xr:uid="{66BF8053-A10E-4FE1-9C1E-FDA8A6A5481F}"/>
    <cellStyle name="Normal 3" xfId="9" xr:uid="{863F6565-2FDA-47AE-B938-BF2EAF4D59D0}"/>
    <cellStyle name="Normal 3 2" xfId="13" xr:uid="{63D4D32F-D6A4-4D49-A64A-965C51F2480E}"/>
    <cellStyle name="Normal 6" xfId="18" xr:uid="{3B897BC2-C7FC-4159-B990-68085D337B74}"/>
    <cellStyle name="Normal 7" xfId="16" xr:uid="{93FB1F75-3630-45DC-954D-75F014E510A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312965</xdr:colOff>
      <xdr:row>0</xdr:row>
      <xdr:rowOff>93889</xdr:rowOff>
    </xdr:from>
    <xdr:to>
      <xdr:col>2</xdr:col>
      <xdr:colOff>795130</xdr:colOff>
      <xdr:row>2</xdr:row>
      <xdr:rowOff>419100</xdr:rowOff>
    </xdr:to>
    <xdr:pic>
      <xdr:nvPicPr>
        <xdr:cNvPr id="2" name="Picture 1" descr="Escudo color CVP">
          <a:extLst>
            <a:ext uri="{FF2B5EF4-FFF2-40B4-BE49-F238E27FC236}">
              <a16:creationId xmlns:a16="http://schemas.microsoft.com/office/drawing/2014/main" id="{F9089517-A54F-4111-8651-73FB348DE1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2965" y="93889"/>
          <a:ext cx="2549090" cy="80146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11\planeacion\Oficial\Plan%20de%20Contratacion\Plan%20de%20Adquisiciones%202018\Cierre%20Mensual%20PAA%202018\4.%20ABRIL\P.A.A.3075%20-%2030%20abri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recursos%20honorarios%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dotaci&#243;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cv11\planeacion\Oficial\Plan%20de%20Contratacion\Plan%20de%20Adquisiciones%202018\P.I.%20y%20Viabilidades%20404\Viabilidades%20P.I.%204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adicion%20mensaje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PI 3075"/>
      <sheetName val="REGISTROS ADICIONALES"/>
      <sheetName val="TD 30 ABRIL 2018"/>
      <sheetName val="PROGRAMACION EJEC"/>
      <sheetName val="CDP"/>
      <sheetName val="RP"/>
    </sheetNames>
    <sheetDataSet>
      <sheetData sheetId="0"/>
      <sheetData sheetId="1"/>
      <sheetData sheetId="2"/>
      <sheetData sheetId="3"/>
      <sheetData sheetId="4"/>
      <sheetData sheetId="5">
        <row r="3">
          <cell r="A3" t="str">
            <v>No_CDP</v>
          </cell>
          <cell r="B3" t="str">
            <v>No_RP</v>
          </cell>
          <cell r="C3" t="str">
            <v>Fech_Registro</v>
          </cell>
          <cell r="D3" t="str">
            <v>Beneficiario</v>
          </cell>
          <cell r="E3" t="str">
            <v>Tip_Compromiso</v>
          </cell>
          <cell r="F3" t="str">
            <v>Desc_Compro</v>
          </cell>
          <cell r="G3" t="str">
            <v>No_Compromiso</v>
          </cell>
          <cell r="H3" t="str">
            <v>Fecha_Inicial</v>
          </cell>
          <cell r="I3" t="str">
            <v>Objeto</v>
          </cell>
          <cell r="J3" t="str">
            <v>Valor</v>
          </cell>
          <cell r="K3" t="str">
            <v>Anulaciones</v>
          </cell>
          <cell r="L3" t="str">
            <v>Valor_Neto</v>
          </cell>
          <cell r="M3" t="str">
            <v>Giros</v>
          </cell>
          <cell r="N3" t="str">
            <v>CompSin_Giro</v>
          </cell>
        </row>
        <row r="4">
          <cell r="A4">
            <v>151</v>
          </cell>
          <cell r="B4">
            <v>2</v>
          </cell>
          <cell r="C4">
            <v>43111</v>
          </cell>
          <cell r="D4" t="str">
            <v>EDNA MARGARITA SANCHEZ CARO</v>
          </cell>
          <cell r="E4">
            <v>145</v>
          </cell>
          <cell r="F4" t="str">
            <v>CONTRATO DE PRESTACION DE SERVICIOS PROFESIONALES</v>
          </cell>
          <cell r="G4">
            <v>2</v>
          </cell>
          <cell r="H4">
            <v>43111</v>
          </cell>
          <cell r="I4" t="str">
            <v>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v>
          </cell>
          <cell r="J4">
            <v>37389000</v>
          </cell>
          <cell r="K4">
            <v>0</v>
          </cell>
          <cell r="L4">
            <v>37389000</v>
          </cell>
          <cell r="M4">
            <v>9064000</v>
          </cell>
          <cell r="N4">
            <v>28325000</v>
          </cell>
        </row>
        <row r="5">
          <cell r="A5">
            <v>317</v>
          </cell>
          <cell r="B5">
            <v>25</v>
          </cell>
          <cell r="C5">
            <v>43115</v>
          </cell>
          <cell r="D5" t="str">
            <v>JORGE RENE MORA DIAZ</v>
          </cell>
          <cell r="E5">
            <v>145</v>
          </cell>
          <cell r="F5" t="str">
            <v>CONTRATO DE PRESTACION DE SERVICIOS PROFESIONALES</v>
          </cell>
          <cell r="G5">
            <v>22</v>
          </cell>
          <cell r="H5">
            <v>43115</v>
          </cell>
          <cell r="I5" t="str">
            <v>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v>
          </cell>
          <cell r="J5">
            <v>113300000</v>
          </cell>
          <cell r="K5">
            <v>0</v>
          </cell>
          <cell r="L5">
            <v>113300000</v>
          </cell>
          <cell r="M5">
            <v>26093333</v>
          </cell>
          <cell r="N5">
            <v>87206667</v>
          </cell>
        </row>
        <row r="6">
          <cell r="A6">
            <v>337</v>
          </cell>
          <cell r="B6">
            <v>35</v>
          </cell>
          <cell r="C6">
            <v>43116</v>
          </cell>
          <cell r="D6" t="str">
            <v>IVAN EDUARDO CASSIANI GUTIERREZ</v>
          </cell>
          <cell r="E6">
            <v>145</v>
          </cell>
          <cell r="F6" t="str">
            <v>CONTRATO DE PRESTACION DE SERVICIOS PROFESIONALES</v>
          </cell>
          <cell r="G6">
            <v>34</v>
          </cell>
          <cell r="H6">
            <v>43116</v>
          </cell>
          <cell r="I6" t="str">
            <v>Prestación de servicios profesionales, para el acompañamiento jurídico, en los procesos y procedimientos establecidos frente a la ejecución del programa misional de la Dirección de reasentamientos de la Caja de la Vivienda Popular.</v>
          </cell>
          <cell r="J6">
            <v>49852000</v>
          </cell>
          <cell r="K6">
            <v>0</v>
          </cell>
          <cell r="L6">
            <v>49852000</v>
          </cell>
          <cell r="M6">
            <v>11330000</v>
          </cell>
          <cell r="N6">
            <v>38522000</v>
          </cell>
        </row>
        <row r="7">
          <cell r="A7">
            <v>432</v>
          </cell>
          <cell r="B7">
            <v>42</v>
          </cell>
          <cell r="C7">
            <v>43116</v>
          </cell>
          <cell r="D7" t="str">
            <v>LINA MARIA AZUERO GUTIERREZ</v>
          </cell>
          <cell r="E7">
            <v>145</v>
          </cell>
          <cell r="F7" t="str">
            <v>CONTRATO DE PRESTACION DE SERVICIOS PROFESIONALES</v>
          </cell>
          <cell r="G7">
            <v>36</v>
          </cell>
          <cell r="H7">
            <v>43116</v>
          </cell>
          <cell r="I7" t="str">
            <v>Prestación de Servicios Profesionales en los procesos misionales y proyectos especiales para apoyar la gestión, planeación, concertación y seguimiento a los planesy cronogramas del componente social</v>
          </cell>
          <cell r="J7">
            <v>23690000</v>
          </cell>
          <cell r="K7">
            <v>0</v>
          </cell>
          <cell r="L7">
            <v>23690000</v>
          </cell>
          <cell r="M7">
            <v>4120000</v>
          </cell>
          <cell r="N7">
            <v>19570000</v>
          </cell>
        </row>
        <row r="8">
          <cell r="A8">
            <v>429</v>
          </cell>
          <cell r="B8">
            <v>83</v>
          </cell>
          <cell r="C8">
            <v>43116</v>
          </cell>
          <cell r="D8" t="str">
            <v>AGUSTIN  LOBATON CORTES</v>
          </cell>
          <cell r="E8">
            <v>145</v>
          </cell>
          <cell r="F8" t="str">
            <v>CONTRATO DE PRESTACION DE SERVICIOS PROFESIONALES</v>
          </cell>
          <cell r="G8">
            <v>33</v>
          </cell>
          <cell r="H8">
            <v>43116</v>
          </cell>
          <cell r="I8" t="str">
            <v>Prestar sus servicios profesionales en la Dirección Jurídica en el desarrollo de actividades jurídicas relacionadas con los procedimientos, actuaciones, competencias y tramites en general que guarden relación con la Dirección Técnica de Reasentamientos de la CVP</v>
          </cell>
          <cell r="J8">
            <v>47380000</v>
          </cell>
          <cell r="K8">
            <v>0</v>
          </cell>
          <cell r="L8">
            <v>47380000</v>
          </cell>
          <cell r="M8">
            <v>10300000</v>
          </cell>
          <cell r="N8">
            <v>37080000</v>
          </cell>
        </row>
        <row r="9">
          <cell r="A9">
            <v>357</v>
          </cell>
          <cell r="B9">
            <v>87</v>
          </cell>
          <cell r="C9">
            <v>43116</v>
          </cell>
          <cell r="D9" t="str">
            <v>FLORANGELA  OLEA ARRIETA</v>
          </cell>
          <cell r="E9">
            <v>145</v>
          </cell>
          <cell r="F9" t="str">
            <v>CONTRATO DE PRESTACION DE SERVICIOS PROFESIONALES</v>
          </cell>
          <cell r="G9">
            <v>75</v>
          </cell>
          <cell r="H9">
            <v>43116</v>
          </cell>
          <cell r="I9" t="str">
            <v>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v>
          </cell>
          <cell r="J9">
            <v>67980000</v>
          </cell>
          <cell r="K9">
            <v>0</v>
          </cell>
          <cell r="L9">
            <v>67980000</v>
          </cell>
          <cell r="M9">
            <v>15244000</v>
          </cell>
          <cell r="N9">
            <v>52736000</v>
          </cell>
        </row>
        <row r="10">
          <cell r="A10">
            <v>330</v>
          </cell>
          <cell r="B10">
            <v>89</v>
          </cell>
          <cell r="C10">
            <v>43116</v>
          </cell>
          <cell r="D10" t="str">
            <v>ERIKA PAOLA GALLEGO CAMARGO</v>
          </cell>
          <cell r="E10">
            <v>145</v>
          </cell>
          <cell r="F10" t="str">
            <v>CONTRATO DE PRESTACION DE SERVICIOS PROFESIONALES</v>
          </cell>
          <cell r="G10">
            <v>77</v>
          </cell>
          <cell r="H10">
            <v>43116</v>
          </cell>
          <cell r="I10" t="str">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v>
          </cell>
          <cell r="J10">
            <v>50367000</v>
          </cell>
          <cell r="K10">
            <v>0</v>
          </cell>
          <cell r="L10">
            <v>50367000</v>
          </cell>
          <cell r="M10">
            <v>12423860</v>
          </cell>
          <cell r="N10">
            <v>37943140</v>
          </cell>
        </row>
        <row r="11">
          <cell r="A11">
            <v>393</v>
          </cell>
          <cell r="B11">
            <v>90</v>
          </cell>
          <cell r="C11">
            <v>43116</v>
          </cell>
          <cell r="D11" t="str">
            <v>DIANA PAOLA MATIZ CASTILLO</v>
          </cell>
          <cell r="E11">
            <v>145</v>
          </cell>
          <cell r="F11" t="str">
            <v>CONTRATO DE PRESTACION DE SERVICIOS PROFESIONALES</v>
          </cell>
          <cell r="G11">
            <v>78</v>
          </cell>
          <cell r="H11">
            <v>43116</v>
          </cell>
          <cell r="I11" t="str">
            <v>Prestación de servicios profesionales, para el acompañamiento jurídico, en los procesos y procedimientos establecidos frente a la ejecución del programa misional de la Dirección de Reasentamientos de la Caja de la Vivienda Popular.</v>
          </cell>
          <cell r="J11">
            <v>43260000</v>
          </cell>
          <cell r="K11">
            <v>0</v>
          </cell>
          <cell r="L11">
            <v>43260000</v>
          </cell>
          <cell r="M11">
            <v>17784667</v>
          </cell>
          <cell r="N11">
            <v>25475333</v>
          </cell>
        </row>
        <row r="12">
          <cell r="A12">
            <v>341</v>
          </cell>
          <cell r="B12">
            <v>91</v>
          </cell>
          <cell r="C12">
            <v>43116</v>
          </cell>
          <cell r="D12" t="str">
            <v>JORGE EDUARDO RAMIREZ ALVIRA</v>
          </cell>
          <cell r="E12">
            <v>145</v>
          </cell>
          <cell r="F12" t="str">
            <v>CONTRATO DE PRESTACION DE SERVICIOS PROFESIONALES</v>
          </cell>
          <cell r="G12">
            <v>80</v>
          </cell>
          <cell r="H12">
            <v>43116</v>
          </cell>
          <cell r="I12" t="str">
            <v>Prestación de servicios profesionales de apoyo financiero y administrativo, respecto a la verificación requisitos, control presupuestal y reporte de información a la Dirección de Reasentamientos de la Caja de la Vivienda Popular</v>
          </cell>
          <cell r="J12">
            <v>67980000</v>
          </cell>
          <cell r="K12">
            <v>0</v>
          </cell>
          <cell r="L12">
            <v>67980000</v>
          </cell>
          <cell r="M12">
            <v>15244000</v>
          </cell>
          <cell r="N12">
            <v>52736000</v>
          </cell>
        </row>
        <row r="13">
          <cell r="A13">
            <v>345</v>
          </cell>
          <cell r="B13">
            <v>92</v>
          </cell>
          <cell r="C13">
            <v>43116</v>
          </cell>
          <cell r="D13" t="str">
            <v>SEBASTIAN  GOMEZ LIEVANO</v>
          </cell>
          <cell r="E13">
            <v>145</v>
          </cell>
          <cell r="F13" t="str">
            <v>CONTRATO DE PRESTACION DE SERVICIOS PROFESIONALES</v>
          </cell>
          <cell r="G13">
            <v>79</v>
          </cell>
          <cell r="H13">
            <v>43116</v>
          </cell>
          <cell r="I13" t="str">
            <v>Prestar sus servicios profesionales en la Dirección de Reasentamientos apoyando la ejecución de las diferentes actividades de la Dirección, en especial temas relacionados con relocalización transitoria.</v>
          </cell>
          <cell r="J13">
            <v>37389000</v>
          </cell>
          <cell r="K13">
            <v>0</v>
          </cell>
          <cell r="L13">
            <v>37389000</v>
          </cell>
          <cell r="M13">
            <v>8384200</v>
          </cell>
          <cell r="N13">
            <v>29004800</v>
          </cell>
        </row>
        <row r="14">
          <cell r="A14">
            <v>364</v>
          </cell>
          <cell r="B14">
            <v>116</v>
          </cell>
          <cell r="C14">
            <v>43117</v>
          </cell>
          <cell r="D14" t="str">
            <v>MARCO ANTONIO AMADO VEGA</v>
          </cell>
          <cell r="E14">
            <v>145</v>
          </cell>
          <cell r="F14" t="str">
            <v>CONTRATO DE PRESTACION DE SERVICIOS PROFESIONALES</v>
          </cell>
          <cell r="G14">
            <v>94</v>
          </cell>
          <cell r="H14">
            <v>43117</v>
          </cell>
          <cell r="I14" t="str">
            <v>Prestación de servicios profesionales, para el acompañamiento jurídico, en los procesos y procedimientos establecidos frente a la ejecución del programa misional de la Dirección de reasentamientos de la Caja de la Vivienda Popular.</v>
          </cell>
          <cell r="J14">
            <v>90640000</v>
          </cell>
          <cell r="K14">
            <v>0</v>
          </cell>
          <cell r="L14">
            <v>90640000</v>
          </cell>
          <cell r="M14">
            <v>20325334</v>
          </cell>
          <cell r="N14">
            <v>70314666</v>
          </cell>
        </row>
        <row r="15">
          <cell r="A15">
            <v>223</v>
          </cell>
          <cell r="B15">
            <v>123</v>
          </cell>
          <cell r="C15">
            <v>43117</v>
          </cell>
          <cell r="D15" t="str">
            <v>MILENA ASTRITH BECERRA TORO</v>
          </cell>
          <cell r="E15">
            <v>145</v>
          </cell>
          <cell r="F15" t="str">
            <v>CONTRATO DE PRESTACION DE SERVICIOS PROFESIONALES</v>
          </cell>
          <cell r="G15">
            <v>116</v>
          </cell>
          <cell r="H15">
            <v>43117</v>
          </cell>
          <cell r="I15" t="str">
            <v>Prestación de servicios profesionales de apoyo financiero respecto a la programación, control presupuestal y acciones de soporte en la Dirección de Reasentamientos de la Caja de la Vivienda Popular</v>
          </cell>
          <cell r="J15">
            <v>41200000</v>
          </cell>
          <cell r="K15">
            <v>0</v>
          </cell>
          <cell r="L15">
            <v>41200000</v>
          </cell>
          <cell r="M15">
            <v>10025333</v>
          </cell>
          <cell r="N15">
            <v>31174667</v>
          </cell>
        </row>
        <row r="16">
          <cell r="A16">
            <v>392</v>
          </cell>
          <cell r="B16">
            <v>124</v>
          </cell>
          <cell r="C16">
            <v>43117</v>
          </cell>
          <cell r="D16" t="str">
            <v>NINA ANDREA HURTADO LIEVANO</v>
          </cell>
          <cell r="E16">
            <v>145</v>
          </cell>
          <cell r="F16" t="str">
            <v>CONTRATO DE PRESTACION DE SERVICIOS PROFESIONALES</v>
          </cell>
          <cell r="G16">
            <v>117</v>
          </cell>
          <cell r="H16">
            <v>43117</v>
          </cell>
          <cell r="I16" t="str">
            <v>Prestación de servicios profesionales desde el componente técnico en la Dirección de Reasentamientos de la Caja de la Vivienda Popular apoyando la ejecución de los procesos relacionados con la selección de vivienda de reposición y de la Gestión Inmobiliaria en general.</v>
          </cell>
          <cell r="J16">
            <v>41200000</v>
          </cell>
          <cell r="K16">
            <v>0</v>
          </cell>
          <cell r="L16">
            <v>41200000</v>
          </cell>
          <cell r="M16">
            <v>10025333</v>
          </cell>
          <cell r="N16">
            <v>31174667</v>
          </cell>
        </row>
        <row r="17">
          <cell r="A17">
            <v>360</v>
          </cell>
          <cell r="B17">
            <v>125</v>
          </cell>
          <cell r="C17">
            <v>43117</v>
          </cell>
          <cell r="D17" t="str">
            <v>LUISA DEL ROSARIO ALARIO SOLANO</v>
          </cell>
          <cell r="E17">
            <v>145</v>
          </cell>
          <cell r="F17" t="str">
            <v>CONTRATO DE PRESTACION DE SERVICIOS PROFESIONALES</v>
          </cell>
          <cell r="G17">
            <v>110</v>
          </cell>
          <cell r="H17">
            <v>43117</v>
          </cell>
          <cell r="I17" t="str">
            <v>Prestación de servicios profesionales a la Dirección de Reasentamientos como enlace ante la Oficina Asesora de Comunicaciones de la Caja de la Vivienda Popular, para la implementación e interlocución del Plan Estratégico de Comunicaciones de la Entidad</v>
          </cell>
          <cell r="J17">
            <v>45330300</v>
          </cell>
          <cell r="K17">
            <v>0</v>
          </cell>
          <cell r="L17">
            <v>45330300</v>
          </cell>
          <cell r="M17">
            <v>12255970</v>
          </cell>
          <cell r="N17">
            <v>33074330</v>
          </cell>
        </row>
        <row r="18">
          <cell r="A18">
            <v>387</v>
          </cell>
          <cell r="B18">
            <v>126</v>
          </cell>
          <cell r="C18">
            <v>43117</v>
          </cell>
          <cell r="D18" t="str">
            <v>DINEY YAMILE RODRIGUEZ ZIPACON</v>
          </cell>
          <cell r="E18">
            <v>148</v>
          </cell>
          <cell r="F18" t="str">
            <v>CONTRATO DE PRESTACION DE SERVICIOS DE APOYO A LA GESTION</v>
          </cell>
          <cell r="G18">
            <v>118</v>
          </cell>
          <cell r="H18">
            <v>43117</v>
          </cell>
          <cell r="I18" t="str">
            <v>Prestación de servicios de apoyo a la gestión en lo relacionado con los trámites requeridos para el manejo de archivo y gestión documental generado desde la Dirección de Reasentamientos de la Caja de la Vivienda Popular.</v>
          </cell>
          <cell r="J18">
            <v>19261000</v>
          </cell>
          <cell r="K18">
            <v>0</v>
          </cell>
          <cell r="L18">
            <v>19261000</v>
          </cell>
          <cell r="M18">
            <v>4260767</v>
          </cell>
          <cell r="N18">
            <v>15000233</v>
          </cell>
        </row>
        <row r="19">
          <cell r="A19">
            <v>319</v>
          </cell>
          <cell r="B19">
            <v>127</v>
          </cell>
          <cell r="C19">
            <v>43117</v>
          </cell>
          <cell r="D19" t="str">
            <v>MARIA LORETA COIA BAENA</v>
          </cell>
          <cell r="E19">
            <v>145</v>
          </cell>
          <cell r="F19" t="str">
            <v>CONTRATO DE PRESTACION DE SERVICIOS PROFESIONALES</v>
          </cell>
          <cell r="G19">
            <v>119</v>
          </cell>
          <cell r="H19">
            <v>43117</v>
          </cell>
          <cell r="I19" t="str">
            <v>Prestación de servicios profesionales desde el componente técnico en la Dirección de Reasentamientos de la Caja de la Vivienda Popular apoyando la definición, control y seguimiento de los procesos relacionados con Gestión Inmobiliaria</v>
          </cell>
          <cell r="J19">
            <v>90640000</v>
          </cell>
          <cell r="K19">
            <v>0</v>
          </cell>
          <cell r="L19">
            <v>90640000</v>
          </cell>
          <cell r="M19">
            <v>20050667</v>
          </cell>
          <cell r="N19">
            <v>70589333</v>
          </cell>
        </row>
        <row r="20">
          <cell r="A20">
            <v>354</v>
          </cell>
          <cell r="B20">
            <v>128</v>
          </cell>
          <cell r="C20">
            <v>43117</v>
          </cell>
          <cell r="D20" t="str">
            <v>ERICA KATHERINE GALLO HERNANDEZ</v>
          </cell>
          <cell r="E20">
            <v>145</v>
          </cell>
          <cell r="F20" t="str">
            <v>CONTRATO DE PRESTACION DE SERVICIOS PROFESIONALES</v>
          </cell>
          <cell r="G20">
            <v>111</v>
          </cell>
          <cell r="H20">
            <v>43117</v>
          </cell>
          <cell r="I20" t="str">
            <v>Prestación de servicios profesionales, en temas jurídicos relacionados con asuntos precontractuales, así como en los procesos y procedimientos establecidos frente a la ejecución del programa misional de la dirección de reasentamientos de la Caja de la vivienda popular.</v>
          </cell>
          <cell r="J20">
            <v>30591000</v>
          </cell>
          <cell r="K20">
            <v>0</v>
          </cell>
          <cell r="L20">
            <v>30591000</v>
          </cell>
          <cell r="M20">
            <v>8270900</v>
          </cell>
          <cell r="N20">
            <v>22320100</v>
          </cell>
        </row>
        <row r="21">
          <cell r="A21">
            <v>388</v>
          </cell>
          <cell r="B21">
            <v>129</v>
          </cell>
          <cell r="C21">
            <v>43117</v>
          </cell>
          <cell r="D21" t="str">
            <v>JENNIFER  MALAVER SOLANO</v>
          </cell>
          <cell r="E21">
            <v>145</v>
          </cell>
          <cell r="F21" t="str">
            <v>CONTRATO DE PRESTACION DE SERVICIOS PROFESIONALES</v>
          </cell>
          <cell r="G21">
            <v>120</v>
          </cell>
          <cell r="H21">
            <v>43117</v>
          </cell>
          <cell r="I21" t="str">
            <v>Prestación de servicios profesionales en la Dirección de Reasentamientos de la Caja de la Vivienda Popular, apoyando la ejecución de las diferentes actividades relacionadas con el componente técnico del área misional.</v>
          </cell>
          <cell r="J21">
            <v>45320000</v>
          </cell>
          <cell r="K21">
            <v>0</v>
          </cell>
          <cell r="L21">
            <v>45320000</v>
          </cell>
          <cell r="M21">
            <v>10025333</v>
          </cell>
          <cell r="N21">
            <v>35294667</v>
          </cell>
        </row>
        <row r="22">
          <cell r="A22">
            <v>236</v>
          </cell>
          <cell r="B22">
            <v>130</v>
          </cell>
          <cell r="C22">
            <v>43117</v>
          </cell>
          <cell r="D22" t="str">
            <v>ALDEMAR  GALVIS SILVA</v>
          </cell>
          <cell r="E22">
            <v>145</v>
          </cell>
          <cell r="F22" t="str">
            <v>CONTRATO DE PRESTACION DE SERVICIOS PROFESIONALES</v>
          </cell>
          <cell r="G22">
            <v>121</v>
          </cell>
          <cell r="H22">
            <v>43117</v>
          </cell>
          <cell r="I22" t="str">
            <v>Prestación de servicios profesionales en la Dirección de Reasentamientos de la Caja de la Vivienda Popular, apoyando la ejecución de las diferentes actividades relacionadas con el componente técnico del área misional</v>
          </cell>
          <cell r="J22">
            <v>90640000</v>
          </cell>
          <cell r="K22">
            <v>0</v>
          </cell>
          <cell r="L22">
            <v>90640000</v>
          </cell>
          <cell r="M22">
            <v>20050667</v>
          </cell>
          <cell r="N22">
            <v>70589333</v>
          </cell>
        </row>
        <row r="23">
          <cell r="A23">
            <v>381</v>
          </cell>
          <cell r="B23">
            <v>134</v>
          </cell>
          <cell r="C23">
            <v>43117</v>
          </cell>
          <cell r="D23" t="str">
            <v>ANGI VIVIANA VELASQUEZ VELASQUEZ</v>
          </cell>
          <cell r="E23">
            <v>145</v>
          </cell>
          <cell r="F23" t="str">
            <v>CONTRATO DE PRESTACION DE SERVICIOS PROFESIONALES</v>
          </cell>
          <cell r="G23">
            <v>143</v>
          </cell>
          <cell r="H23">
            <v>43117</v>
          </cell>
          <cell r="I23" t="str">
            <v>Prestación de servicios profesionales, para el acompañamiento y apoyo a la Dirección de Reasentamientos de la Caja de la Vivienda Popular, en la definición, control y seguimiento del programa misional, de conformidad con los procesos y procedimientos internos e institucionales.</v>
          </cell>
          <cell r="J23">
            <v>82400000</v>
          </cell>
          <cell r="K23">
            <v>0</v>
          </cell>
          <cell r="L23">
            <v>82400000</v>
          </cell>
          <cell r="M23">
            <v>20050667</v>
          </cell>
          <cell r="N23">
            <v>62349333</v>
          </cell>
        </row>
        <row r="24">
          <cell r="A24">
            <v>355</v>
          </cell>
          <cell r="B24">
            <v>139</v>
          </cell>
          <cell r="C24">
            <v>43117</v>
          </cell>
          <cell r="D24" t="str">
            <v>YASMIN VIVIANA BELTRAN MARTINEZ</v>
          </cell>
          <cell r="E24">
            <v>145</v>
          </cell>
          <cell r="F24" t="str">
            <v>CONTRATO DE PRESTACION DE SERVICIOS PROFESIONALES</v>
          </cell>
          <cell r="G24">
            <v>146</v>
          </cell>
          <cell r="H24">
            <v>43117</v>
          </cell>
          <cell r="I24" t="str">
            <v>Prestación de servicios profesionales desde el componente jurídico, para realizar el seguimiento y control al cumplimiento de requisitos legales y reglamentarios, de las familias beneficiarias del programa de Reasentamientos de la Caja de la Vivienda Popular</v>
          </cell>
          <cell r="J24">
            <v>45320000</v>
          </cell>
          <cell r="K24">
            <v>0</v>
          </cell>
          <cell r="L24">
            <v>45320000</v>
          </cell>
          <cell r="M24">
            <v>13784833</v>
          </cell>
          <cell r="N24">
            <v>31535167</v>
          </cell>
        </row>
        <row r="25">
          <cell r="A25">
            <v>391</v>
          </cell>
          <cell r="B25">
            <v>145</v>
          </cell>
          <cell r="C25">
            <v>43117</v>
          </cell>
          <cell r="D25" t="str">
            <v>MIGUEL ANGEL GONZALEZ CAÑON</v>
          </cell>
          <cell r="E25">
            <v>148</v>
          </cell>
          <cell r="F25" t="str">
            <v>CONTRATO DE PRESTACION DE SERVICIOS DE APOYO A LA GESTION</v>
          </cell>
          <cell r="G25">
            <v>153</v>
          </cell>
          <cell r="H25">
            <v>43117</v>
          </cell>
          <cell r="I25" t="str">
            <v>Prestación de servicios de apoyo a la gestión en lo relacionado con los trámites requeridos para el manejo de archivo y gestión documental generado desde la Dirección de Reasentamientos de la Caja de la Vivienda Popular.</v>
          </cell>
          <cell r="J25">
            <v>16995000</v>
          </cell>
          <cell r="K25">
            <v>0</v>
          </cell>
          <cell r="L25">
            <v>16995000</v>
          </cell>
          <cell r="M25">
            <v>3759500</v>
          </cell>
          <cell r="N25">
            <v>13235500</v>
          </cell>
        </row>
        <row r="26">
          <cell r="A26">
            <v>431</v>
          </cell>
          <cell r="B26">
            <v>154</v>
          </cell>
          <cell r="C26">
            <v>43117</v>
          </cell>
          <cell r="D26" t="str">
            <v>JULY PAOLA TORRES RISCANEVO</v>
          </cell>
          <cell r="E26">
            <v>145</v>
          </cell>
          <cell r="F26" t="str">
            <v>CONTRATO DE PRESTACION DE SERVICIOS PROFESIONALES</v>
          </cell>
          <cell r="G26">
            <v>155</v>
          </cell>
          <cell r="H26">
            <v>43117</v>
          </cell>
          <cell r="I26" t="str">
            <v>PRESTAR SERVICIOS PROFESIONALES PARA EL DESARROLLO DE LA POLITICA DE RESPONSABILIDAD SOCIAL, BAJO LOS TRES PILARES DE SOSTENIBILIDAD A LOS PROCESOS DE GESTION MISIONAL DE LA CAJA DE LA VIVIENDA POPULAR.</v>
          </cell>
          <cell r="J26">
            <v>23690000</v>
          </cell>
          <cell r="K26">
            <v>0</v>
          </cell>
          <cell r="L26">
            <v>23690000</v>
          </cell>
          <cell r="M26">
            <v>5012666</v>
          </cell>
          <cell r="N26">
            <v>18677334</v>
          </cell>
        </row>
        <row r="27">
          <cell r="A27">
            <v>321</v>
          </cell>
          <cell r="B27">
            <v>158</v>
          </cell>
          <cell r="C27">
            <v>43118</v>
          </cell>
          <cell r="D27" t="str">
            <v>MADDY ANDREA ARIAS ROJAS</v>
          </cell>
          <cell r="E27">
            <v>145</v>
          </cell>
          <cell r="F27" t="str">
            <v>CONTRATO DE PRESTACION DE SERVICIOS PROFESIONALES</v>
          </cell>
          <cell r="G27">
            <v>109</v>
          </cell>
          <cell r="H27">
            <v>43118</v>
          </cell>
          <cell r="I27" t="str">
            <v>Prestación de servicios profesionales, para asesorar a la Dirección de Reasentamientos de la Caja de la Vivienda Popular, desde el componente jurídico en la ejecucion de las actuaciones propias del area misional, de conformidad con la normatividad vigente, así como los procesos y procedimientos internos e institucionales.</v>
          </cell>
          <cell r="J27">
            <v>113300000</v>
          </cell>
          <cell r="K27">
            <v>0</v>
          </cell>
          <cell r="L27">
            <v>113300000</v>
          </cell>
          <cell r="M27">
            <v>25063333</v>
          </cell>
          <cell r="N27">
            <v>88236667</v>
          </cell>
        </row>
        <row r="28">
          <cell r="A28">
            <v>348</v>
          </cell>
          <cell r="B28">
            <v>162</v>
          </cell>
          <cell r="C28">
            <v>43118</v>
          </cell>
          <cell r="D28" t="str">
            <v>OSCAR FELIPE MARLES MONJE</v>
          </cell>
          <cell r="E28">
            <v>145</v>
          </cell>
          <cell r="F28" t="str">
            <v>CONTRATO DE PRESTACION DE SERVICIOS PROFESIONALES</v>
          </cell>
          <cell r="G28">
            <v>123</v>
          </cell>
          <cell r="H28">
            <v>43118</v>
          </cell>
          <cell r="I28" t="str">
            <v>Prestación de servicios profesionales a la Dirección de Reasentamientos para la puesta en marcha del Sistema de Información Geográfica, el uso y adopción de tecnologías para la gestión de Información Georeferenciada del área misonal.</v>
          </cell>
          <cell r="J28">
            <v>72100000</v>
          </cell>
          <cell r="K28">
            <v>0</v>
          </cell>
          <cell r="L28">
            <v>72100000</v>
          </cell>
          <cell r="M28">
            <v>17544333</v>
          </cell>
          <cell r="N28">
            <v>54555667</v>
          </cell>
        </row>
        <row r="29">
          <cell r="A29">
            <v>199</v>
          </cell>
          <cell r="B29">
            <v>171</v>
          </cell>
          <cell r="C29">
            <v>43118</v>
          </cell>
          <cell r="D29" t="str">
            <v>CRISTOPHER GIOVANNI CEBALLOS MEDINA</v>
          </cell>
          <cell r="E29">
            <v>148</v>
          </cell>
          <cell r="F29" t="str">
            <v>CONTRATO DE PRESTACION DE SERVICIOS DE APOYO A LA GESTION</v>
          </cell>
          <cell r="G29">
            <v>154</v>
          </cell>
          <cell r="H29">
            <v>43118</v>
          </cell>
          <cell r="I29" t="str">
            <v>Prestación de servicios de apoyo a la gestión en los procedimientos relacionados con el componente técnico del programa de Reasentamientos para el cumplimiento de sus metas.</v>
          </cell>
          <cell r="J29">
            <v>30385000</v>
          </cell>
          <cell r="K29">
            <v>0</v>
          </cell>
          <cell r="L29">
            <v>30385000</v>
          </cell>
          <cell r="M29">
            <v>4355183</v>
          </cell>
          <cell r="N29">
            <v>26029817</v>
          </cell>
        </row>
        <row r="30">
          <cell r="A30">
            <v>447</v>
          </cell>
          <cell r="B30">
            <v>176</v>
          </cell>
          <cell r="C30">
            <v>43118</v>
          </cell>
          <cell r="D30" t="str">
            <v>MONICA VIVIANA CEBALLOS CRIOLLO</v>
          </cell>
          <cell r="E30">
            <v>145</v>
          </cell>
          <cell r="F30" t="str">
            <v>CONTRATO DE PRESTACION DE SERVICIOS PROFESIONALES</v>
          </cell>
          <cell r="G30">
            <v>160</v>
          </cell>
          <cell r="H30">
            <v>43118</v>
          </cell>
          <cell r="I30" t="str">
            <v>CONTRATAR LOS SERVICIOS PROFESIONALES DE UN COMUNICADOR SOCIAL QUE DESARROLLE LA INFORMACION PERIODISTICA DE LAS AREAS MISIONALES, PARA FORTALECER LOS CANALES DE COMUNICACIÓN INTERNOS Y EXTERNOS DE LA ENTIDAD, CONFORME A LA ESTRATEGIA DE COMUNICACIONES DE LA CAJA DE LA VIVIENDA POPULAR.</v>
          </cell>
          <cell r="J30">
            <v>13850925</v>
          </cell>
          <cell r="K30">
            <v>0</v>
          </cell>
          <cell r="L30">
            <v>13850925</v>
          </cell>
          <cell r="M30">
            <v>3063992</v>
          </cell>
          <cell r="N30">
            <v>10786933</v>
          </cell>
        </row>
        <row r="31">
          <cell r="A31">
            <v>383</v>
          </cell>
          <cell r="B31">
            <v>182</v>
          </cell>
          <cell r="C31">
            <v>43118</v>
          </cell>
          <cell r="D31" t="str">
            <v>CARLOS ARMANDO CRIOLLO LAMILLA</v>
          </cell>
          <cell r="E31">
            <v>145</v>
          </cell>
          <cell r="F31" t="str">
            <v>CONTRATO DE PRESTACION DE SERVICIOS PROFESIONALES</v>
          </cell>
          <cell r="G31">
            <v>108</v>
          </cell>
          <cell r="H31">
            <v>43118</v>
          </cell>
          <cell r="I31" t="str">
            <v>Prestación de servicios profesionales desde el componente técnico en la Dirección de Reasentamientos de la Caja de la Vivienda Popular apoyando la ejecución de los procesos relacionados con la selección de vivienda de reposición y de la Gestión Inmobiliaria en general.</v>
          </cell>
          <cell r="J31">
            <v>45320000</v>
          </cell>
          <cell r="K31">
            <v>0</v>
          </cell>
          <cell r="L31">
            <v>45320000</v>
          </cell>
          <cell r="M31">
            <v>10025333</v>
          </cell>
          <cell r="N31">
            <v>35294667</v>
          </cell>
        </row>
        <row r="32">
          <cell r="A32">
            <v>335</v>
          </cell>
          <cell r="B32">
            <v>187</v>
          </cell>
          <cell r="C32">
            <v>43118</v>
          </cell>
          <cell r="D32" t="str">
            <v>GINNA CATALINA CRUZ RODRIGUEZ</v>
          </cell>
          <cell r="E32">
            <v>145</v>
          </cell>
          <cell r="F32" t="str">
            <v>CONTRATO DE PRESTACION DE SERVICIOS PROFESIONALES</v>
          </cell>
          <cell r="G32">
            <v>156</v>
          </cell>
          <cell r="H32">
            <v>43118</v>
          </cell>
          <cell r="I32" t="str">
            <v>Prestación de servicios profesionales en el componente social de la Dirección de Reasentamientos de la Caja de la Vivienda Popular, para la ejecución de planes y programas agenciados por el área misional.</v>
          </cell>
          <cell r="J32">
            <v>57783000</v>
          </cell>
          <cell r="K32">
            <v>0</v>
          </cell>
          <cell r="L32">
            <v>57783000</v>
          </cell>
          <cell r="M32">
            <v>12782300</v>
          </cell>
          <cell r="N32">
            <v>45000700</v>
          </cell>
        </row>
        <row r="33">
          <cell r="A33">
            <v>398</v>
          </cell>
          <cell r="B33">
            <v>189</v>
          </cell>
          <cell r="C33">
            <v>43118</v>
          </cell>
          <cell r="D33" t="str">
            <v>ANGELICA MARIA ACOSTA CUELLAR</v>
          </cell>
          <cell r="E33">
            <v>145</v>
          </cell>
          <cell r="F33" t="str">
            <v>CONTRATO DE PRESTACION DE SERVICIOS PROFESIONALES</v>
          </cell>
          <cell r="G33">
            <v>168</v>
          </cell>
          <cell r="H33">
            <v>43118</v>
          </cell>
          <cell r="I33" t="str">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v>
          </cell>
          <cell r="J33">
            <v>41200000</v>
          </cell>
          <cell r="K33">
            <v>0</v>
          </cell>
          <cell r="L33">
            <v>41200000</v>
          </cell>
          <cell r="M33">
            <v>9888000</v>
          </cell>
          <cell r="N33">
            <v>31312000</v>
          </cell>
        </row>
        <row r="34">
          <cell r="A34">
            <v>338</v>
          </cell>
          <cell r="B34">
            <v>190</v>
          </cell>
          <cell r="C34">
            <v>43118</v>
          </cell>
          <cell r="D34" t="str">
            <v>JAIME ALONSO CRUZ OLARTE</v>
          </cell>
          <cell r="E34">
            <v>145</v>
          </cell>
          <cell r="F34" t="str">
            <v>CONTRATO DE PRESTACION DE SERVICIOS PROFESIONALES</v>
          </cell>
          <cell r="G34">
            <v>167</v>
          </cell>
          <cell r="H34">
            <v>43118</v>
          </cell>
          <cell r="I34" t="str">
            <v>Prestación de servicios profesionales a la Dirección de Reasentamientos de la Caja de la Vivienda Popular, apoyando la gestión administrativa y financiera en relación con los contratos y convenios suscritos por el área misional</v>
          </cell>
          <cell r="J34">
            <v>82400000</v>
          </cell>
          <cell r="K34">
            <v>0</v>
          </cell>
          <cell r="L34">
            <v>82400000</v>
          </cell>
          <cell r="M34">
            <v>19776000</v>
          </cell>
          <cell r="N34">
            <v>62624000</v>
          </cell>
        </row>
        <row r="35">
          <cell r="A35">
            <v>382</v>
          </cell>
          <cell r="B35">
            <v>191</v>
          </cell>
          <cell r="C35">
            <v>43118</v>
          </cell>
          <cell r="D35" t="str">
            <v>CAMILO ANDRES PINZON RODRIGUEZ</v>
          </cell>
          <cell r="E35">
            <v>148</v>
          </cell>
          <cell r="F35" t="str">
            <v>CONTRATO DE PRESTACION DE SERVICIOS DE APOYO A LA GESTION</v>
          </cell>
          <cell r="G35">
            <v>166</v>
          </cell>
          <cell r="H35">
            <v>43118</v>
          </cell>
          <cell r="I35" t="str">
            <v>Prestación de servicios de apoyo a la gestión en lo relacionado con los trámites requeridos para el manejo de archivo y gestión documental generado desde la Dirección de Reasentamientos de la Caja de la Vivienda Popular.</v>
          </cell>
          <cell r="J35">
            <v>9270000</v>
          </cell>
          <cell r="K35">
            <v>0</v>
          </cell>
          <cell r="L35">
            <v>9270000</v>
          </cell>
          <cell r="M35">
            <v>3708000</v>
          </cell>
          <cell r="N35">
            <v>5562000</v>
          </cell>
        </row>
        <row r="36">
          <cell r="A36">
            <v>334</v>
          </cell>
          <cell r="B36">
            <v>192</v>
          </cell>
          <cell r="C36">
            <v>43118</v>
          </cell>
          <cell r="D36" t="str">
            <v>JESUS EDUARDO RESTREPO CASTELLANOS</v>
          </cell>
          <cell r="E36">
            <v>145</v>
          </cell>
          <cell r="F36" t="str">
            <v>CONTRATO DE PRESTACION DE SERVICIOS PROFESIONALES</v>
          </cell>
          <cell r="G36">
            <v>165</v>
          </cell>
          <cell r="H36">
            <v>43118</v>
          </cell>
          <cell r="I36" t="str">
            <v>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v>
          </cell>
          <cell r="J36">
            <v>67980000</v>
          </cell>
          <cell r="K36">
            <v>0</v>
          </cell>
          <cell r="L36">
            <v>67980000</v>
          </cell>
          <cell r="M36">
            <v>14832000</v>
          </cell>
          <cell r="N36">
            <v>53148000</v>
          </cell>
        </row>
        <row r="37">
          <cell r="A37">
            <v>402</v>
          </cell>
          <cell r="B37">
            <v>193</v>
          </cell>
          <cell r="C37">
            <v>43118</v>
          </cell>
          <cell r="D37" t="str">
            <v>EDGAR FABIAN DEL CASTILLO MURCIA</v>
          </cell>
          <cell r="E37">
            <v>145</v>
          </cell>
          <cell r="F37" t="str">
            <v>CONTRATO DE PRESTACION DE SERVICIOS PROFESIONALES</v>
          </cell>
          <cell r="G37">
            <v>164</v>
          </cell>
          <cell r="H37">
            <v>43118</v>
          </cell>
          <cell r="I37" t="str">
            <v>Prestación de servicios profesionales en el componente social de la Dirección de Reasentamientos de la Caja de la Vivienda Popular, para la ejecución de planes y programas agenciados por el área misional.</v>
          </cell>
          <cell r="J37">
            <v>31981500</v>
          </cell>
          <cell r="K37">
            <v>0</v>
          </cell>
          <cell r="L37">
            <v>31981500</v>
          </cell>
          <cell r="M37">
            <v>8173050</v>
          </cell>
          <cell r="N37">
            <v>23808450</v>
          </cell>
        </row>
        <row r="38">
          <cell r="A38">
            <v>346</v>
          </cell>
          <cell r="B38">
            <v>194</v>
          </cell>
          <cell r="C38">
            <v>43118</v>
          </cell>
          <cell r="D38" t="str">
            <v>MONICA ANDREA ALVAREZ FERNANDEZ</v>
          </cell>
          <cell r="E38">
            <v>145</v>
          </cell>
          <cell r="F38" t="str">
            <v>CONTRATO DE PRESTACION DE SERVICIOS PROFESIONALES</v>
          </cell>
          <cell r="G38">
            <v>162</v>
          </cell>
          <cell r="H38">
            <v>43118</v>
          </cell>
          <cell r="I38" t="str">
            <v>Prestación de servicios profesionales, en los componentes técnico y administrativo de los procedimientos de selección de vivienda y del proceso de Gestión Inmobiliaria, de la Dirección de Reasentamientos de la Caja de la Vivienda Popular</v>
          </cell>
          <cell r="J38">
            <v>55403700</v>
          </cell>
          <cell r="K38">
            <v>0</v>
          </cell>
          <cell r="L38">
            <v>55403700</v>
          </cell>
          <cell r="M38">
            <v>12088080</v>
          </cell>
          <cell r="N38">
            <v>43315620</v>
          </cell>
        </row>
        <row r="39">
          <cell r="A39">
            <v>401</v>
          </cell>
          <cell r="B39">
            <v>197</v>
          </cell>
          <cell r="C39">
            <v>43118</v>
          </cell>
          <cell r="D39" t="str">
            <v>HASBLEIDY  PUENTES MONTAÑA</v>
          </cell>
          <cell r="E39">
            <v>145</v>
          </cell>
          <cell r="F39" t="str">
            <v>CONTRATO DE PRESTACION DE SERVICIOS PROFESIONALES</v>
          </cell>
          <cell r="G39">
            <v>181</v>
          </cell>
          <cell r="H39">
            <v>43118</v>
          </cell>
          <cell r="I39" t="str">
            <v>Prestación de servicios profesionales en el componente social de la Dirección de Reasentamientos de la Caja de la Vivienda Popular, para la ejecución de planes y programas agenciados por el área misional.</v>
          </cell>
          <cell r="J39">
            <v>31981500</v>
          </cell>
          <cell r="K39">
            <v>0</v>
          </cell>
          <cell r="L39">
            <v>31981500</v>
          </cell>
          <cell r="M39">
            <v>8528400</v>
          </cell>
          <cell r="N39">
            <v>23453100</v>
          </cell>
        </row>
        <row r="40">
          <cell r="A40">
            <v>202</v>
          </cell>
          <cell r="B40">
            <v>198</v>
          </cell>
          <cell r="C40">
            <v>43118</v>
          </cell>
          <cell r="D40" t="str">
            <v>JUAN JAIRO HERRERA GUERRERO</v>
          </cell>
          <cell r="E40">
            <v>148</v>
          </cell>
          <cell r="F40" t="str">
            <v>CONTRATO DE PRESTACION DE SERVICIOS DE APOYO A LA GESTION</v>
          </cell>
          <cell r="G40">
            <v>180</v>
          </cell>
          <cell r="H40">
            <v>43118</v>
          </cell>
          <cell r="I40" t="str">
            <v>Prestación de servicios de apoyo a la gestión en los procedimientos relacionados con el componente técnico del programa de Reasentamientos para el cumplimiento de sus metas</v>
          </cell>
          <cell r="J40">
            <v>36595900</v>
          </cell>
          <cell r="K40">
            <v>0</v>
          </cell>
          <cell r="L40">
            <v>36595900</v>
          </cell>
          <cell r="M40">
            <v>7984560</v>
          </cell>
          <cell r="N40">
            <v>28611340</v>
          </cell>
        </row>
        <row r="41">
          <cell r="A41">
            <v>448</v>
          </cell>
          <cell r="B41">
            <v>199</v>
          </cell>
          <cell r="C41">
            <v>43118</v>
          </cell>
          <cell r="D41" t="str">
            <v>CRISTIAN ALEJANDRO BARRETO ARCOS</v>
          </cell>
          <cell r="E41">
            <v>145</v>
          </cell>
          <cell r="F41" t="str">
            <v>CONTRATO DE PRESTACION DE SERVICIOS PROFESIONALES</v>
          </cell>
          <cell r="G41">
            <v>179</v>
          </cell>
          <cell r="H41">
            <v>43118</v>
          </cell>
          <cell r="I41" t="str">
            <v>Prestación de servicios profesionales en el componente social de la dirección de reasentamientos de la caja de la vivienda popular, para la ejecución de planes y programas agenciados por el área misional</v>
          </cell>
          <cell r="J41">
            <v>33990000</v>
          </cell>
          <cell r="K41">
            <v>0</v>
          </cell>
          <cell r="L41">
            <v>33990000</v>
          </cell>
          <cell r="M41">
            <v>8157600</v>
          </cell>
          <cell r="N41">
            <v>25832400</v>
          </cell>
        </row>
        <row r="42">
          <cell r="A42">
            <v>211</v>
          </cell>
          <cell r="B42">
            <v>201</v>
          </cell>
          <cell r="C42">
            <v>43118</v>
          </cell>
          <cell r="D42" t="str">
            <v>MARIA CLAUDIA MONTOYA SOTO</v>
          </cell>
          <cell r="E42">
            <v>148</v>
          </cell>
          <cell r="F42" t="str">
            <v>CONTRATO DE PRESTACION DE SERVICIOS DE APOYO A LA GESTION</v>
          </cell>
          <cell r="G42">
            <v>190</v>
          </cell>
          <cell r="H42">
            <v>43118</v>
          </cell>
          <cell r="I42" t="str">
            <v>Prestación de servicios de apoyo a la gestión para la ejecución de actividades a cargo del componente social y en especial lo relativo a la estrategia de Resiliencia y Sostenibilidad de la comunidad, en la Dirección de Reasentamientos de la caja de la Vivienda Popular</v>
          </cell>
          <cell r="J42">
            <v>33269000</v>
          </cell>
          <cell r="K42">
            <v>0</v>
          </cell>
          <cell r="L42">
            <v>33269000</v>
          </cell>
          <cell r="M42">
            <v>7984560</v>
          </cell>
          <cell r="N42">
            <v>25284440</v>
          </cell>
        </row>
        <row r="43">
          <cell r="A43">
            <v>316</v>
          </cell>
          <cell r="B43">
            <v>202</v>
          </cell>
          <cell r="C43">
            <v>43118</v>
          </cell>
          <cell r="D43" t="str">
            <v>DENICE ASTRID OLAYA DUARTE</v>
          </cell>
          <cell r="E43">
            <v>145</v>
          </cell>
          <cell r="F43" t="str">
            <v>CONTRATO DE PRESTACION DE SERVICIOS PROFESIONALES</v>
          </cell>
          <cell r="G43">
            <v>191</v>
          </cell>
          <cell r="H43">
            <v>43118</v>
          </cell>
          <cell r="I43" t="str">
            <v>Prestación de servicios profesionales en el componente social de la Dirección de Reasentamientos de la Caja de la Vivienda Popular, para la ejecución de planes y programas agenciados por el área misional.</v>
          </cell>
          <cell r="J43">
            <v>37080000</v>
          </cell>
          <cell r="K43">
            <v>0</v>
          </cell>
          <cell r="L43">
            <v>37080000</v>
          </cell>
          <cell r="M43">
            <v>9888000</v>
          </cell>
          <cell r="N43">
            <v>27192000</v>
          </cell>
        </row>
        <row r="44">
          <cell r="A44">
            <v>310</v>
          </cell>
          <cell r="B44">
            <v>205</v>
          </cell>
          <cell r="C44">
            <v>43118</v>
          </cell>
          <cell r="D44" t="str">
            <v>MARIA CAMILA GARCIA RAMOS</v>
          </cell>
          <cell r="E44">
            <v>145</v>
          </cell>
          <cell r="F44" t="str">
            <v>CONTRATO DE PRESTACION DE SERVICIOS PROFESIONALES</v>
          </cell>
          <cell r="G44">
            <v>163</v>
          </cell>
          <cell r="H44">
            <v>43118</v>
          </cell>
          <cell r="I44" t="str">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v>
          </cell>
          <cell r="J44">
            <v>45320000</v>
          </cell>
          <cell r="K44">
            <v>0</v>
          </cell>
          <cell r="L44">
            <v>45320000</v>
          </cell>
          <cell r="M44">
            <v>10876800</v>
          </cell>
          <cell r="N44">
            <v>34443200</v>
          </cell>
        </row>
        <row r="45">
          <cell r="A45">
            <v>459</v>
          </cell>
          <cell r="B45">
            <v>208</v>
          </cell>
          <cell r="C45">
            <v>43118</v>
          </cell>
          <cell r="D45" t="str">
            <v>JOHN STEVE PEÑA CASALLAS</v>
          </cell>
          <cell r="E45">
            <v>145</v>
          </cell>
          <cell r="F45" t="str">
            <v>CONTRATO DE PRESTACION DE SERVICIOS PROFESIONALES</v>
          </cell>
          <cell r="G45">
            <v>171</v>
          </cell>
          <cell r="H45">
            <v>43118</v>
          </cell>
          <cell r="I45"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v>
          </cell>
          <cell r="J45">
            <v>49852000</v>
          </cell>
          <cell r="K45">
            <v>0</v>
          </cell>
          <cell r="L45">
            <v>49852000</v>
          </cell>
          <cell r="M45">
            <v>10876800</v>
          </cell>
          <cell r="N45">
            <v>38975200</v>
          </cell>
        </row>
        <row r="46">
          <cell r="A46">
            <v>457</v>
          </cell>
          <cell r="B46">
            <v>209</v>
          </cell>
          <cell r="C46">
            <v>43118</v>
          </cell>
          <cell r="D46" t="str">
            <v>YOLIMA  OROZCO SUAREZ</v>
          </cell>
          <cell r="E46">
            <v>148</v>
          </cell>
          <cell r="F46" t="str">
            <v>CONTRATO DE PRESTACION DE SERVICIOS DE APOYO A LA GESTION</v>
          </cell>
          <cell r="G46">
            <v>169</v>
          </cell>
          <cell r="H46">
            <v>43118</v>
          </cell>
          <cell r="I46" t="str">
            <v>Prestación de servicios de apoyo a la gestión en la Dirección de Reasentamientos de la Caja de Vivienda Popular, para asistencia técnica en aspectos administrativos, logísticos y operativos.</v>
          </cell>
          <cell r="J46">
            <v>19261000</v>
          </cell>
          <cell r="K46">
            <v>0</v>
          </cell>
          <cell r="L46">
            <v>19261000</v>
          </cell>
          <cell r="M46">
            <v>4202400</v>
          </cell>
          <cell r="N46">
            <v>15058600</v>
          </cell>
        </row>
        <row r="47">
          <cell r="A47">
            <v>331</v>
          </cell>
          <cell r="B47">
            <v>210</v>
          </cell>
          <cell r="C47">
            <v>43118</v>
          </cell>
          <cell r="D47" t="str">
            <v>ESTEBAN  PINZON OSPINA</v>
          </cell>
          <cell r="E47">
            <v>145</v>
          </cell>
          <cell r="F47" t="str">
            <v>CONTRATO DE PRESTACION DE SERVICIOS PROFESIONALES</v>
          </cell>
          <cell r="G47">
            <v>170</v>
          </cell>
          <cell r="H47">
            <v>43118</v>
          </cell>
          <cell r="I47" t="str">
            <v>Prestación de servicios profesionales en la Dirección de Reasentamientos de la Caja de la Vivienda Popular, apoyando la ejecución de las diferentes actividades relacionadas con el componente técnico del área misional.</v>
          </cell>
          <cell r="J47">
            <v>50985000</v>
          </cell>
          <cell r="K47">
            <v>0</v>
          </cell>
          <cell r="L47">
            <v>50985000</v>
          </cell>
          <cell r="M47">
            <v>13596000</v>
          </cell>
          <cell r="N47">
            <v>37389000</v>
          </cell>
        </row>
        <row r="48">
          <cell r="A48">
            <v>390</v>
          </cell>
          <cell r="B48">
            <v>212</v>
          </cell>
          <cell r="C48">
            <v>43118</v>
          </cell>
          <cell r="D48" t="str">
            <v>LUIS EDUARDO RODRIGUEZ RAMIREZ</v>
          </cell>
          <cell r="E48">
            <v>148</v>
          </cell>
          <cell r="F48" t="str">
            <v>CONTRATO DE PRESTACION DE SERVICIOS DE APOYO A LA GESTION</v>
          </cell>
          <cell r="G48">
            <v>184</v>
          </cell>
          <cell r="H48">
            <v>43118</v>
          </cell>
          <cell r="I48" t="str">
            <v>Prestación de servicios de apoyo a la gestión en lo relacionado con el manejo de archivo y gestión documental generado desde la Dirección de Reasentamientos de la Caja de la Vivienda Popular.</v>
          </cell>
          <cell r="J48">
            <v>33423500</v>
          </cell>
          <cell r="K48">
            <v>0</v>
          </cell>
          <cell r="L48">
            <v>33423500</v>
          </cell>
          <cell r="M48">
            <v>7292400</v>
          </cell>
          <cell r="N48">
            <v>26131100</v>
          </cell>
        </row>
        <row r="49">
          <cell r="A49">
            <v>406</v>
          </cell>
          <cell r="B49">
            <v>223</v>
          </cell>
          <cell r="C49">
            <v>43118</v>
          </cell>
          <cell r="D49" t="str">
            <v>PAULA TATIANA RAMOS DUQUE</v>
          </cell>
          <cell r="E49">
            <v>145</v>
          </cell>
          <cell r="F49" t="str">
            <v>CONTRATO DE PRESTACION DE SERVICIOS PROFESIONALES</v>
          </cell>
          <cell r="G49">
            <v>192</v>
          </cell>
          <cell r="H49">
            <v>43118</v>
          </cell>
          <cell r="I49" t="str">
            <v>Prestación de servicios profesionales en el componente social de la Dirección de Reasentamientos de la Caja de la Vivienda Popular, para la ejecución de planes y programas agenciados por el área misional.</v>
          </cell>
          <cell r="J49">
            <v>41200000</v>
          </cell>
          <cell r="K49">
            <v>0</v>
          </cell>
          <cell r="L49">
            <v>41200000</v>
          </cell>
          <cell r="M49">
            <v>9888000</v>
          </cell>
          <cell r="N49">
            <v>31312000</v>
          </cell>
        </row>
        <row r="50">
          <cell r="A50">
            <v>328</v>
          </cell>
          <cell r="B50">
            <v>227</v>
          </cell>
          <cell r="C50">
            <v>43118</v>
          </cell>
          <cell r="D50" t="str">
            <v>DORALBA  RESTREPO MEJIA</v>
          </cell>
          <cell r="E50">
            <v>145</v>
          </cell>
          <cell r="F50" t="str">
            <v>CONTRATO DE PRESTACION DE SERVICIOS PROFESIONALES</v>
          </cell>
          <cell r="G50">
            <v>194</v>
          </cell>
          <cell r="H50">
            <v>43118</v>
          </cell>
          <cell r="I50" t="str">
            <v>Prestación de servicios profesionales en el componente social de la Dirección de Reasentamientos de la Caja de la Vivienda Popular, para la ejecución de planes y programas agenciados por el área misional.</v>
          </cell>
          <cell r="J50">
            <v>45330300</v>
          </cell>
          <cell r="K50">
            <v>0</v>
          </cell>
          <cell r="L50">
            <v>45330300</v>
          </cell>
          <cell r="M50">
            <v>12088080</v>
          </cell>
          <cell r="N50">
            <v>33242220</v>
          </cell>
        </row>
        <row r="51">
          <cell r="A51">
            <v>430</v>
          </cell>
          <cell r="B51">
            <v>228</v>
          </cell>
          <cell r="C51">
            <v>43118</v>
          </cell>
          <cell r="D51" t="str">
            <v>JUAN CAMILO MEJIA URIBE</v>
          </cell>
          <cell r="E51">
            <v>145</v>
          </cell>
          <cell r="F51" t="str">
            <v>CONTRATO DE PRESTACION DE SERVICIOS PROFESIONALES</v>
          </cell>
          <cell r="G51">
            <v>161</v>
          </cell>
          <cell r="H51">
            <v>43118</v>
          </cell>
          <cell r="I51" t="str">
            <v>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v>
          </cell>
          <cell r="J51">
            <v>24720000</v>
          </cell>
          <cell r="K51">
            <v>0</v>
          </cell>
          <cell r="L51">
            <v>24720000</v>
          </cell>
          <cell r="M51">
            <v>10025333</v>
          </cell>
          <cell r="N51">
            <v>14694667</v>
          </cell>
        </row>
        <row r="52">
          <cell r="A52">
            <v>323</v>
          </cell>
          <cell r="B52">
            <v>230</v>
          </cell>
          <cell r="C52">
            <v>43118</v>
          </cell>
          <cell r="D52" t="str">
            <v>CESAR AUGUSTO SABOGAL TARAZONA</v>
          </cell>
          <cell r="E52">
            <v>145</v>
          </cell>
          <cell r="F52" t="str">
            <v>CONTRATO DE PRESTACION DE SERVICIOS PROFESIONALES</v>
          </cell>
          <cell r="G52">
            <v>200</v>
          </cell>
          <cell r="H52">
            <v>43118</v>
          </cell>
          <cell r="I52" t="str">
            <v>Prestación de servicios profesionales brindando apoyo contable frente al control presupuestal, cierre financiero de la vigencia 2018 y la programación presupuestal 2019 que coordina la Dirección de Reasentamientos de la Caja de la Vivienda Popular.</v>
          </cell>
          <cell r="J52">
            <v>50367000</v>
          </cell>
          <cell r="K52">
            <v>0</v>
          </cell>
          <cell r="L52">
            <v>50367000</v>
          </cell>
          <cell r="M52">
            <v>12088080</v>
          </cell>
          <cell r="N52">
            <v>38278920</v>
          </cell>
        </row>
        <row r="53">
          <cell r="A53">
            <v>208</v>
          </cell>
          <cell r="B53">
            <v>233</v>
          </cell>
          <cell r="C53">
            <v>43119</v>
          </cell>
          <cell r="D53" t="str">
            <v>YONATHAN  APONTE GUTIERREZ</v>
          </cell>
          <cell r="E53">
            <v>148</v>
          </cell>
          <cell r="F53" t="str">
            <v>CONTRATO DE PRESTACION DE SERVICIOS DE APOYO A LA GESTION</v>
          </cell>
          <cell r="G53">
            <v>211</v>
          </cell>
          <cell r="H53">
            <v>43119</v>
          </cell>
          <cell r="I53" t="str">
            <v>Prestación de servicios de apoyo a la gestión, para el acompañamiento técnico y operativo en los procedimientos a cargo de la Dirección de Reasentamiento en el cumplimiento de sus objetivos.</v>
          </cell>
          <cell r="J53">
            <v>17510000</v>
          </cell>
          <cell r="K53">
            <v>0</v>
          </cell>
          <cell r="L53">
            <v>17510000</v>
          </cell>
          <cell r="M53">
            <v>4202400</v>
          </cell>
          <cell r="N53">
            <v>13307600</v>
          </cell>
        </row>
        <row r="54">
          <cell r="A54">
            <v>385</v>
          </cell>
          <cell r="B54">
            <v>239</v>
          </cell>
          <cell r="C54">
            <v>43119</v>
          </cell>
          <cell r="D54" t="str">
            <v>CRISTIAM CAMILO MOLINA CESPEDES</v>
          </cell>
          <cell r="E54">
            <v>145</v>
          </cell>
          <cell r="F54" t="str">
            <v>CONTRATO DE PRESTACION DE SERVICIOS PROFESIONALES</v>
          </cell>
          <cell r="G54">
            <v>222</v>
          </cell>
          <cell r="H54">
            <v>43119</v>
          </cell>
          <cell r="I54" t="str">
            <v>Prestación de servicios profesionales en la Dirección de Reasentamientos de la Caja de la Vivienda Popular, apoyando la ejecución de las diferentes actividades relacionadas con el componente técnico del área misional.</v>
          </cell>
          <cell r="J54">
            <v>30591000</v>
          </cell>
          <cell r="K54">
            <v>0</v>
          </cell>
          <cell r="L54">
            <v>30591000</v>
          </cell>
          <cell r="M54">
            <v>8157600</v>
          </cell>
          <cell r="N54">
            <v>22433400</v>
          </cell>
        </row>
        <row r="55">
          <cell r="A55">
            <v>440</v>
          </cell>
          <cell r="B55">
            <v>242</v>
          </cell>
          <cell r="C55">
            <v>43119</v>
          </cell>
          <cell r="D55" t="str">
            <v>JENNY KATHERINE GONZALEZ SANCHEZ</v>
          </cell>
          <cell r="E55">
            <v>145</v>
          </cell>
          <cell r="F55" t="str">
            <v>CONTRATO DE PRESTACION DE SERVICIOS PROFESIONALES</v>
          </cell>
          <cell r="G55">
            <v>219</v>
          </cell>
          <cell r="H55">
            <v>43119</v>
          </cell>
          <cell r="I55"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v>
          </cell>
          <cell r="J55">
            <v>20394000</v>
          </cell>
          <cell r="K55">
            <v>0</v>
          </cell>
          <cell r="L55">
            <v>20394000</v>
          </cell>
          <cell r="M55">
            <v>8157600</v>
          </cell>
          <cell r="N55">
            <v>12236400</v>
          </cell>
        </row>
        <row r="56">
          <cell r="A56">
            <v>470</v>
          </cell>
          <cell r="B56">
            <v>243</v>
          </cell>
          <cell r="C56">
            <v>43119</v>
          </cell>
          <cell r="D56" t="str">
            <v>EDNA GISELA GARCIA ROMERO</v>
          </cell>
          <cell r="E56">
            <v>145</v>
          </cell>
          <cell r="F56" t="str">
            <v>CONTRATO DE PRESTACION DE SERVICIOS PROFESIONALES</v>
          </cell>
          <cell r="G56">
            <v>218</v>
          </cell>
          <cell r="H56">
            <v>43119</v>
          </cell>
          <cell r="I56" t="str">
            <v>Prestación de servicios profesionales en el componente social de la Dirección de Reasentamientos de la Caja de la Vivienda Popular, para la ejecución de planes y programas agenciados por el área misional.</v>
          </cell>
          <cell r="J56">
            <v>24720000</v>
          </cell>
          <cell r="K56">
            <v>0</v>
          </cell>
          <cell r="L56">
            <v>24720000</v>
          </cell>
          <cell r="M56">
            <v>9888000</v>
          </cell>
          <cell r="N56">
            <v>14832000</v>
          </cell>
        </row>
        <row r="57">
          <cell r="A57">
            <v>403</v>
          </cell>
          <cell r="B57">
            <v>245</v>
          </cell>
          <cell r="C57">
            <v>43119</v>
          </cell>
          <cell r="D57" t="str">
            <v>JOSE DOMINGO GRACIA BAYUELO</v>
          </cell>
          <cell r="E57">
            <v>145</v>
          </cell>
          <cell r="F57" t="str">
            <v>CONTRATO DE PRESTACION DE SERVICIOS PROFESIONALES</v>
          </cell>
          <cell r="G57">
            <v>216</v>
          </cell>
          <cell r="H57">
            <v>43119</v>
          </cell>
          <cell r="I57" t="str">
            <v>Prestación de servicios profesionales en el componente social de la Dirección de Reasentamientos de la Caja de la Vivienda Popular, para la ejecución de planes y programas agenciados por el área misional.</v>
          </cell>
          <cell r="J57">
            <v>45320000</v>
          </cell>
          <cell r="K57">
            <v>0</v>
          </cell>
          <cell r="L57">
            <v>45320000</v>
          </cell>
          <cell r="M57">
            <v>9888000</v>
          </cell>
          <cell r="N57">
            <v>35432000</v>
          </cell>
        </row>
        <row r="58">
          <cell r="A58">
            <v>234</v>
          </cell>
          <cell r="B58">
            <v>247</v>
          </cell>
          <cell r="C58">
            <v>43119</v>
          </cell>
          <cell r="D58" t="str">
            <v>EGNA MARGARITA ROJAS VARGAS</v>
          </cell>
          <cell r="E58">
            <v>145</v>
          </cell>
          <cell r="F58" t="str">
            <v>CONTRATO DE PRESTACION DE SERVICIOS PROFESIONALES</v>
          </cell>
          <cell r="G58">
            <v>214</v>
          </cell>
          <cell r="H58">
            <v>43119</v>
          </cell>
          <cell r="I58" t="str">
            <v>Prestación de servicios profesionales, para el acompañamiento jurídico, en los procesos y procedimientos establecidos frente a la ejecución del programa misional de la Dirección de reasentamientos de la Caja de la Vivienda Popular</v>
          </cell>
          <cell r="J58">
            <v>57680000</v>
          </cell>
          <cell r="K58">
            <v>0</v>
          </cell>
          <cell r="L58">
            <v>57680000</v>
          </cell>
          <cell r="M58">
            <v>17304000</v>
          </cell>
          <cell r="N58">
            <v>40376000</v>
          </cell>
        </row>
        <row r="59">
          <cell r="A59">
            <v>325</v>
          </cell>
          <cell r="B59">
            <v>249</v>
          </cell>
          <cell r="C59">
            <v>43119</v>
          </cell>
          <cell r="D59" t="str">
            <v>CLARA ROSARIO VILLAMIZAR BERNAL</v>
          </cell>
          <cell r="E59">
            <v>145</v>
          </cell>
          <cell r="F59" t="str">
            <v>CONTRATO DE PRESTACION DE SERVICIOS PROFESIONALES</v>
          </cell>
          <cell r="G59">
            <v>206</v>
          </cell>
          <cell r="H59">
            <v>43119</v>
          </cell>
          <cell r="I59" t="str">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v>
          </cell>
          <cell r="J59">
            <v>50367000</v>
          </cell>
          <cell r="K59">
            <v>0</v>
          </cell>
          <cell r="L59">
            <v>50367000</v>
          </cell>
          <cell r="M59">
            <v>12088080</v>
          </cell>
          <cell r="N59">
            <v>38278920</v>
          </cell>
        </row>
        <row r="60">
          <cell r="A60">
            <v>358</v>
          </cell>
          <cell r="B60">
            <v>256</v>
          </cell>
          <cell r="C60">
            <v>43119</v>
          </cell>
          <cell r="D60" t="str">
            <v>SANDRA MILENA GAMBA RUIZ</v>
          </cell>
          <cell r="E60">
            <v>145</v>
          </cell>
          <cell r="F60" t="str">
            <v>CONTRATO DE PRESTACION DE SERVICIOS PROFESIONALES</v>
          </cell>
          <cell r="G60">
            <v>224</v>
          </cell>
          <cell r="H60">
            <v>43119</v>
          </cell>
          <cell r="I60" t="str">
            <v>Prestación de servicios profesionales en el componente social de la Dirección de Reasentamientos de la Caja de la Vivienda Popular, para la ejecución de planes y programas agenciados por el área misional.</v>
          </cell>
          <cell r="J60">
            <v>30591000</v>
          </cell>
          <cell r="K60">
            <v>0</v>
          </cell>
          <cell r="L60">
            <v>30591000</v>
          </cell>
          <cell r="M60">
            <v>7817700</v>
          </cell>
          <cell r="N60">
            <v>22773300</v>
          </cell>
        </row>
        <row r="61">
          <cell r="A61">
            <v>210</v>
          </cell>
          <cell r="B61">
            <v>261</v>
          </cell>
          <cell r="C61">
            <v>43119</v>
          </cell>
          <cell r="D61" t="str">
            <v>LEIDY JINETH SANABRIA SANABRIA</v>
          </cell>
          <cell r="E61">
            <v>145</v>
          </cell>
          <cell r="F61" t="str">
            <v>CONTRATO DE PRESTACION DE SERVICIOS PROFESIONALES</v>
          </cell>
          <cell r="G61">
            <v>227</v>
          </cell>
          <cell r="H61">
            <v>43119</v>
          </cell>
          <cell r="I61" t="str">
            <v>Prestación de servicios profesionales en el componente social de la Dirección de Reasentamientos de la Caja de la Vivienda Popular, para la ejecución de planes y programas agenciados por el área misional</v>
          </cell>
          <cell r="J61">
            <v>41200000</v>
          </cell>
          <cell r="K61">
            <v>0</v>
          </cell>
          <cell r="L61">
            <v>41200000</v>
          </cell>
          <cell r="M61">
            <v>9476000</v>
          </cell>
          <cell r="N61">
            <v>31724000</v>
          </cell>
        </row>
        <row r="62">
          <cell r="A62">
            <v>350</v>
          </cell>
          <cell r="B62">
            <v>262</v>
          </cell>
          <cell r="C62">
            <v>43119</v>
          </cell>
          <cell r="D62" t="str">
            <v>JUAN CAMILO MEJIA PAREDES</v>
          </cell>
          <cell r="E62">
            <v>145</v>
          </cell>
          <cell r="F62" t="str">
            <v>CONTRATO DE PRESTACION DE SERVICIOS PROFESIONALES</v>
          </cell>
          <cell r="G62">
            <v>228</v>
          </cell>
          <cell r="H62">
            <v>43119</v>
          </cell>
          <cell r="I62" t="str">
            <v>Prestación de servicios profesionales, para el acompañamiento jurídico, en los procesos y procedimientos establecidos frente a la ejecución del programa misional de la Dirección de reasentamientos de la Caja de la Vivienda Popular</v>
          </cell>
          <cell r="J62">
            <v>64890000</v>
          </cell>
          <cell r="K62">
            <v>0</v>
          </cell>
          <cell r="L62">
            <v>64890000</v>
          </cell>
          <cell r="M62">
            <v>16583000</v>
          </cell>
          <cell r="N62">
            <v>48307000</v>
          </cell>
        </row>
        <row r="63">
          <cell r="A63">
            <v>450</v>
          </cell>
          <cell r="B63">
            <v>263</v>
          </cell>
          <cell r="C63">
            <v>43119</v>
          </cell>
          <cell r="D63" t="str">
            <v>JHOANA MARITZA MEDINA RAMIREZ</v>
          </cell>
          <cell r="E63">
            <v>145</v>
          </cell>
          <cell r="F63" t="str">
            <v>CONTRATO DE PRESTACION DE SERVICIOS PROFESIONALES</v>
          </cell>
          <cell r="G63">
            <v>229</v>
          </cell>
          <cell r="H63">
            <v>43119</v>
          </cell>
          <cell r="I63" t="str">
            <v>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v>
          </cell>
          <cell r="J63">
            <v>57783000</v>
          </cell>
          <cell r="K63">
            <v>0</v>
          </cell>
          <cell r="L63">
            <v>57783000</v>
          </cell>
          <cell r="M63">
            <v>12257000</v>
          </cell>
          <cell r="N63">
            <v>45526000</v>
          </cell>
        </row>
        <row r="64">
          <cell r="A64">
            <v>491</v>
          </cell>
          <cell r="B64">
            <v>265</v>
          </cell>
          <cell r="C64">
            <v>43119</v>
          </cell>
          <cell r="D64" t="str">
            <v>KATHIA LILIANA RODRIGUEZ CAMARGO</v>
          </cell>
          <cell r="E64">
            <v>145</v>
          </cell>
          <cell r="F64" t="str">
            <v>CONTRATO DE PRESTACION DE SERVICIOS PROFESIONALES</v>
          </cell>
          <cell r="G64">
            <v>235</v>
          </cell>
          <cell r="H64">
            <v>43119</v>
          </cell>
          <cell r="I64"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64">
            <v>31518000</v>
          </cell>
          <cell r="K64">
            <v>0</v>
          </cell>
          <cell r="L64">
            <v>31518000</v>
          </cell>
          <cell r="M64">
            <v>12081900</v>
          </cell>
          <cell r="N64">
            <v>19436100</v>
          </cell>
        </row>
        <row r="65">
          <cell r="A65">
            <v>367</v>
          </cell>
          <cell r="B65">
            <v>267</v>
          </cell>
          <cell r="C65">
            <v>43119</v>
          </cell>
          <cell r="D65" t="str">
            <v>ANDRES CAMILO RODRIGUEZ JOYA</v>
          </cell>
          <cell r="E65">
            <v>145</v>
          </cell>
          <cell r="F65" t="str">
            <v>CONTRATO DE PRESTACION DE SERVICIOS PROFESIONALES</v>
          </cell>
          <cell r="G65">
            <v>237</v>
          </cell>
          <cell r="H65">
            <v>43119</v>
          </cell>
          <cell r="I65"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65">
            <v>37080000</v>
          </cell>
          <cell r="K65">
            <v>0</v>
          </cell>
          <cell r="L65">
            <v>37080000</v>
          </cell>
          <cell r="M65">
            <v>14214000</v>
          </cell>
          <cell r="N65">
            <v>22866000</v>
          </cell>
        </row>
        <row r="66">
          <cell r="A66">
            <v>455</v>
          </cell>
          <cell r="B66">
            <v>268</v>
          </cell>
          <cell r="C66">
            <v>43119</v>
          </cell>
          <cell r="D66" t="str">
            <v>MARIENT LORENA PADILLA GARCIA</v>
          </cell>
          <cell r="E66">
            <v>145</v>
          </cell>
          <cell r="F66" t="str">
            <v>CONTRATO DE PRESTACION DE SERVICIOS PROFESIONALES</v>
          </cell>
          <cell r="G66">
            <v>238</v>
          </cell>
          <cell r="H66">
            <v>43119</v>
          </cell>
          <cell r="I66"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66">
            <v>37080000</v>
          </cell>
          <cell r="K66">
            <v>0</v>
          </cell>
          <cell r="L66">
            <v>37080000</v>
          </cell>
          <cell r="M66">
            <v>14214000</v>
          </cell>
          <cell r="N66">
            <v>22866000</v>
          </cell>
        </row>
        <row r="67">
          <cell r="A67">
            <v>421</v>
          </cell>
          <cell r="B67">
            <v>269</v>
          </cell>
          <cell r="C67">
            <v>43119</v>
          </cell>
          <cell r="D67" t="str">
            <v>VICTOR MANUEL LOPEZ RINCON</v>
          </cell>
          <cell r="E67">
            <v>145</v>
          </cell>
          <cell r="F67" t="str">
            <v>CONTRATO DE PRESTACION DE SERVICIOS PROFESIONALES</v>
          </cell>
          <cell r="G67">
            <v>239</v>
          </cell>
          <cell r="H67">
            <v>43119</v>
          </cell>
          <cell r="I67"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v>
          </cell>
          <cell r="J67">
            <v>30220200</v>
          </cell>
          <cell r="K67">
            <v>0</v>
          </cell>
          <cell r="L67">
            <v>30220200</v>
          </cell>
          <cell r="M67">
            <v>11584410</v>
          </cell>
          <cell r="N67">
            <v>18635790</v>
          </cell>
        </row>
        <row r="68">
          <cell r="A68">
            <v>407</v>
          </cell>
          <cell r="B68">
            <v>270</v>
          </cell>
          <cell r="C68">
            <v>43119</v>
          </cell>
          <cell r="D68" t="str">
            <v>RUBEN DARIO RODAS CHINGATE</v>
          </cell>
          <cell r="E68">
            <v>145</v>
          </cell>
          <cell r="F68" t="str">
            <v>CONTRATO DE PRESTACION DE SERVICIOS PROFESIONALES</v>
          </cell>
          <cell r="G68">
            <v>240</v>
          </cell>
          <cell r="H68">
            <v>43119</v>
          </cell>
          <cell r="I68" t="str">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v>
          </cell>
          <cell r="J68">
            <v>32960000</v>
          </cell>
          <cell r="K68">
            <v>0</v>
          </cell>
          <cell r="L68">
            <v>32960000</v>
          </cell>
          <cell r="M68">
            <v>9476000</v>
          </cell>
          <cell r="N68">
            <v>23484000</v>
          </cell>
        </row>
        <row r="69">
          <cell r="A69">
            <v>404</v>
          </cell>
          <cell r="B69">
            <v>271</v>
          </cell>
          <cell r="C69">
            <v>43119</v>
          </cell>
          <cell r="D69" t="str">
            <v>JUDY  CRUZ PINEDA</v>
          </cell>
          <cell r="E69">
            <v>145</v>
          </cell>
          <cell r="F69" t="str">
            <v>CONTRATO DE PRESTACION DE SERVICIOS PROFESIONALES</v>
          </cell>
          <cell r="G69">
            <v>241</v>
          </cell>
          <cell r="H69">
            <v>43119</v>
          </cell>
          <cell r="I69" t="str">
            <v>Prestación de servicios profesionales en el componente social de la Dirección de Reasentamientos de la Caja de la Vivienda Popular, para la ejecución de planes y programas agenciados por el área misional.</v>
          </cell>
          <cell r="J69">
            <v>41200000</v>
          </cell>
          <cell r="K69">
            <v>0</v>
          </cell>
          <cell r="L69">
            <v>41200000</v>
          </cell>
          <cell r="M69">
            <v>9476000</v>
          </cell>
          <cell r="N69">
            <v>31724000</v>
          </cell>
        </row>
        <row r="70">
          <cell r="A70">
            <v>384</v>
          </cell>
          <cell r="B70">
            <v>274</v>
          </cell>
          <cell r="C70">
            <v>43122</v>
          </cell>
          <cell r="D70" t="str">
            <v>CESAR EDUARDO RODRIGUEZ PINZON</v>
          </cell>
          <cell r="E70">
            <v>145</v>
          </cell>
          <cell r="F70" t="str">
            <v>CONTRATO DE PRESTACION DE SERVICIOS PROFESIONALES</v>
          </cell>
          <cell r="G70">
            <v>244</v>
          </cell>
          <cell r="H70">
            <v>43122</v>
          </cell>
          <cell r="I70" t="str">
            <v>Prestación de servicios profesionales en la Dirección de Reasentamientos de la Caja de la Vivienda Popular, apoyando los procesos y procedimientos que en materia jurídica se requieran.</v>
          </cell>
          <cell r="J70">
            <v>37080000</v>
          </cell>
          <cell r="K70">
            <v>0</v>
          </cell>
          <cell r="L70">
            <v>37080000</v>
          </cell>
          <cell r="M70">
            <v>9476000</v>
          </cell>
          <cell r="N70">
            <v>27604000</v>
          </cell>
        </row>
        <row r="71">
          <cell r="A71">
            <v>469</v>
          </cell>
          <cell r="B71">
            <v>277</v>
          </cell>
          <cell r="C71">
            <v>43122</v>
          </cell>
          <cell r="D71" t="str">
            <v>ESPERANZA  CAJIAO MOSQUERA</v>
          </cell>
          <cell r="E71">
            <v>145</v>
          </cell>
          <cell r="F71" t="str">
            <v>CONTRATO DE PRESTACION DE SERVICIOS PROFESIONALES</v>
          </cell>
          <cell r="G71">
            <v>247</v>
          </cell>
          <cell r="H71">
            <v>43122</v>
          </cell>
          <cell r="I71" t="str">
            <v>Prestación de servicios profesionales en el componente social de la Dirección de Reasentamientos de la Caja de la Vivienda Popular para la ejecución de planes y programas agenciados por el área misional.</v>
          </cell>
          <cell r="J71">
            <v>16995000</v>
          </cell>
          <cell r="K71">
            <v>0</v>
          </cell>
          <cell r="L71">
            <v>16995000</v>
          </cell>
          <cell r="M71">
            <v>7704400</v>
          </cell>
          <cell r="N71">
            <v>9290600</v>
          </cell>
        </row>
        <row r="72">
          <cell r="A72">
            <v>468</v>
          </cell>
          <cell r="B72">
            <v>278</v>
          </cell>
          <cell r="C72">
            <v>43122</v>
          </cell>
          <cell r="D72" t="str">
            <v>MARIELA  GARCIA PINZON</v>
          </cell>
          <cell r="E72">
            <v>145</v>
          </cell>
          <cell r="F72" t="str">
            <v>CONTRATO DE PRESTACION DE SERVICIOS PROFESIONALES</v>
          </cell>
          <cell r="G72">
            <v>248</v>
          </cell>
          <cell r="H72">
            <v>43122</v>
          </cell>
          <cell r="I72"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v>
          </cell>
          <cell r="J72">
            <v>43260000</v>
          </cell>
          <cell r="K72">
            <v>0</v>
          </cell>
          <cell r="L72">
            <v>43260000</v>
          </cell>
          <cell r="M72">
            <v>16583000</v>
          </cell>
          <cell r="N72">
            <v>26677000</v>
          </cell>
        </row>
        <row r="73">
          <cell r="A73">
            <v>372</v>
          </cell>
          <cell r="B73">
            <v>282</v>
          </cell>
          <cell r="C73">
            <v>43122</v>
          </cell>
          <cell r="D73" t="str">
            <v>DIANA CAROLINA FABRA GUTIERREZ</v>
          </cell>
          <cell r="E73">
            <v>145</v>
          </cell>
          <cell r="F73" t="str">
            <v>CONTRATO DE PRESTACION DE SERVICIOS PROFESIONALES</v>
          </cell>
          <cell r="G73">
            <v>252</v>
          </cell>
          <cell r="H73">
            <v>43122</v>
          </cell>
          <cell r="I73" t="str">
            <v>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v>
          </cell>
          <cell r="J73">
            <v>20394000</v>
          </cell>
          <cell r="K73">
            <v>0</v>
          </cell>
          <cell r="L73">
            <v>20394000</v>
          </cell>
          <cell r="M73">
            <v>7817700</v>
          </cell>
          <cell r="N73">
            <v>12576300</v>
          </cell>
        </row>
        <row r="74">
          <cell r="A74">
            <v>396</v>
          </cell>
          <cell r="B74">
            <v>283</v>
          </cell>
          <cell r="C74">
            <v>43122</v>
          </cell>
          <cell r="D74" t="str">
            <v>SANDRA MIREYA GUTIERREZ LIEVANO</v>
          </cell>
          <cell r="E74">
            <v>148</v>
          </cell>
          <cell r="F74" t="str">
            <v>CONTRATO DE PRESTACION DE SERVICIOS DE APOYO A LA GESTION</v>
          </cell>
          <cell r="G74">
            <v>253</v>
          </cell>
          <cell r="H74">
            <v>43122</v>
          </cell>
          <cell r="I74" t="str">
            <v>Prestación de servicios de apoyo a la gestión en lo relacionado con el manejo de archivo y gestión documental generado desde la Dirección de Reasentamientos de la Caja de la Vivienda Popular.</v>
          </cell>
          <cell r="J74">
            <v>27192000</v>
          </cell>
          <cell r="K74">
            <v>0</v>
          </cell>
          <cell r="L74">
            <v>27192000</v>
          </cell>
          <cell r="M74">
            <v>5685600</v>
          </cell>
          <cell r="N74">
            <v>21506400</v>
          </cell>
        </row>
        <row r="75">
          <cell r="A75">
            <v>366</v>
          </cell>
          <cell r="B75">
            <v>286</v>
          </cell>
          <cell r="C75">
            <v>43122</v>
          </cell>
          <cell r="D75" t="str">
            <v>ANDREA MARGARITA BERNAL VERGARA</v>
          </cell>
          <cell r="E75">
            <v>145</v>
          </cell>
          <cell r="F75" t="str">
            <v>CONTRATO DE PRESTACION DE SERVICIOS PROFESIONALES</v>
          </cell>
          <cell r="G75">
            <v>256</v>
          </cell>
          <cell r="H75">
            <v>43122</v>
          </cell>
          <cell r="I75" t="str">
            <v>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75">
            <v>24720000</v>
          </cell>
          <cell r="K75">
            <v>0</v>
          </cell>
          <cell r="L75">
            <v>24720000</v>
          </cell>
          <cell r="M75">
            <v>9476000</v>
          </cell>
          <cell r="N75">
            <v>15244000</v>
          </cell>
        </row>
        <row r="76">
          <cell r="A76">
            <v>386</v>
          </cell>
          <cell r="B76">
            <v>287</v>
          </cell>
          <cell r="C76">
            <v>43122</v>
          </cell>
          <cell r="D76" t="str">
            <v>DIEGO FERNANDO CUBIDES REINA</v>
          </cell>
          <cell r="E76">
            <v>145</v>
          </cell>
          <cell r="F76" t="str">
            <v>CONTRATO DE PRESTACION DE SERVICIOS PROFESIONALES</v>
          </cell>
          <cell r="G76">
            <v>251</v>
          </cell>
          <cell r="H76">
            <v>43122</v>
          </cell>
          <cell r="I76" t="str">
            <v>Prestación de servicios profesionales de apoyo financiero respecto a la programación, control presupuestal y acciones de soporte en la Dirección de Reasentamientos de la Caja de la Vivienda Popular.</v>
          </cell>
          <cell r="J76">
            <v>41200000</v>
          </cell>
          <cell r="K76">
            <v>0</v>
          </cell>
          <cell r="L76">
            <v>41200000</v>
          </cell>
          <cell r="M76">
            <v>9476000</v>
          </cell>
          <cell r="N76">
            <v>31724000</v>
          </cell>
        </row>
        <row r="77">
          <cell r="A77">
            <v>215</v>
          </cell>
          <cell r="B77">
            <v>288</v>
          </cell>
          <cell r="C77">
            <v>43122</v>
          </cell>
          <cell r="D77" t="str">
            <v>CLAUDIA BIBIANA ESPINOSA HORTUA</v>
          </cell>
          <cell r="E77">
            <v>148</v>
          </cell>
          <cell r="F77" t="str">
            <v>CONTRATO DE PRESTACION DE SERVICIOS DE APOYO A LA GESTION</v>
          </cell>
          <cell r="G77">
            <v>257</v>
          </cell>
          <cell r="H77">
            <v>43122</v>
          </cell>
          <cell r="I77" t="str">
            <v>Prestación de servicios de apoyo a la gestión en lo relacionado con los trámites requeridos para el manejo de archivo y gestión documental generado desde la Dirección de Reasentamientos de la Caja de la Vivienda Popular</v>
          </cell>
          <cell r="J77">
            <v>19261000</v>
          </cell>
          <cell r="K77">
            <v>0</v>
          </cell>
          <cell r="L77">
            <v>19261000</v>
          </cell>
          <cell r="M77">
            <v>4027300</v>
          </cell>
          <cell r="N77">
            <v>15233700</v>
          </cell>
        </row>
        <row r="78">
          <cell r="A78">
            <v>332</v>
          </cell>
          <cell r="B78">
            <v>289</v>
          </cell>
          <cell r="C78">
            <v>43122</v>
          </cell>
          <cell r="D78" t="str">
            <v>FABIAN RICARDO MEJIA OSPINA</v>
          </cell>
          <cell r="E78">
            <v>145</v>
          </cell>
          <cell r="F78" t="str">
            <v>CONTRATO DE PRESTACION DE SERVICIOS PROFESIONALES</v>
          </cell>
          <cell r="G78">
            <v>258</v>
          </cell>
          <cell r="H78">
            <v>43122</v>
          </cell>
          <cell r="I78" t="str">
            <v>Prestación de servicios profesionales a la Dirección de Reasentamientos para la puesta en marcha del Sistema de Información Geográfica, el uso y adopción de tecnologías para la gestión de Información Georeferenciada del área misonal.</v>
          </cell>
          <cell r="J78">
            <v>66950000</v>
          </cell>
          <cell r="K78">
            <v>0</v>
          </cell>
          <cell r="L78">
            <v>66950000</v>
          </cell>
          <cell r="M78">
            <v>15175333</v>
          </cell>
          <cell r="N78">
            <v>51774667</v>
          </cell>
        </row>
        <row r="79">
          <cell r="A79">
            <v>439</v>
          </cell>
          <cell r="B79">
            <v>290</v>
          </cell>
          <cell r="C79">
            <v>43122</v>
          </cell>
          <cell r="D79" t="str">
            <v>JANETH VANESSA DIAZ CAMACHO</v>
          </cell>
          <cell r="E79">
            <v>148</v>
          </cell>
          <cell r="F79" t="str">
            <v>CONTRATO DE PRESTACION DE SERVICIOS DE APOYO A LA GESTION</v>
          </cell>
          <cell r="G79">
            <v>259</v>
          </cell>
          <cell r="H79">
            <v>43122</v>
          </cell>
          <cell r="I79" t="str">
            <v>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v>
          </cell>
          <cell r="J79">
            <v>9270000</v>
          </cell>
          <cell r="K79">
            <v>0</v>
          </cell>
          <cell r="L79">
            <v>9270000</v>
          </cell>
          <cell r="M79">
            <v>3553500</v>
          </cell>
          <cell r="N79">
            <v>5716500</v>
          </cell>
        </row>
        <row r="80">
          <cell r="A80">
            <v>472</v>
          </cell>
          <cell r="B80">
            <v>294</v>
          </cell>
          <cell r="C80">
            <v>43122</v>
          </cell>
          <cell r="D80" t="str">
            <v>JHON CARLOS RINCON AGREDO</v>
          </cell>
          <cell r="E80">
            <v>145</v>
          </cell>
          <cell r="F80" t="str">
            <v>CONTRATO DE PRESTACION DE SERVICIOS PROFESIONALES</v>
          </cell>
          <cell r="G80">
            <v>261</v>
          </cell>
          <cell r="H80">
            <v>43122</v>
          </cell>
          <cell r="I80" t="str">
            <v>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v>
          </cell>
          <cell r="J80">
            <v>9772125</v>
          </cell>
          <cell r="K80">
            <v>0</v>
          </cell>
          <cell r="L80">
            <v>9772125</v>
          </cell>
          <cell r="M80">
            <v>2043262</v>
          </cell>
          <cell r="N80">
            <v>7728863</v>
          </cell>
        </row>
        <row r="81">
          <cell r="A81">
            <v>312</v>
          </cell>
          <cell r="B81">
            <v>295</v>
          </cell>
          <cell r="C81">
            <v>43122</v>
          </cell>
          <cell r="D81" t="str">
            <v>MARIA ELSA SICHACA CASTELBLANCO</v>
          </cell>
          <cell r="E81">
            <v>145</v>
          </cell>
          <cell r="F81" t="str">
            <v>CONTRATO DE PRESTACION DE SERVICIOS PROFESIONALES</v>
          </cell>
          <cell r="G81">
            <v>263</v>
          </cell>
          <cell r="H81">
            <v>43122</v>
          </cell>
          <cell r="I81" t="str">
            <v>Prestación de servicios profesionales para la ejecución de actividades a cargo del componente social y en especial lo relativo a la estrategia de Resiliencia y Sostenibilidad de la comunidad, en la Dirección de Reasentamientos de la caja de la Vivienda Popular.</v>
          </cell>
          <cell r="J81">
            <v>61800000</v>
          </cell>
          <cell r="K81">
            <v>0</v>
          </cell>
          <cell r="L81">
            <v>61800000</v>
          </cell>
          <cell r="M81">
            <v>14214000</v>
          </cell>
          <cell r="N81">
            <v>47586000</v>
          </cell>
        </row>
        <row r="82">
          <cell r="A82">
            <v>220</v>
          </cell>
          <cell r="B82">
            <v>298</v>
          </cell>
          <cell r="C82">
            <v>43122</v>
          </cell>
          <cell r="D82" t="str">
            <v>MIGUEL DAVID PERDOMO DURAN</v>
          </cell>
          <cell r="E82">
            <v>145</v>
          </cell>
          <cell r="F82" t="str">
            <v>CONTRATO DE PRESTACION DE SERVICIOS PROFESIONALES</v>
          </cell>
          <cell r="G82">
            <v>271</v>
          </cell>
          <cell r="H82">
            <v>43122</v>
          </cell>
          <cell r="I82" t="str">
            <v>Prestación de servicios profesionales, para el acompañamiento jurídico, en los procesos y procedimientos establecidos frente a la ejecución del programa misional de la Dirección de Reasentamientos de la Caja de la Vivienda Popular</v>
          </cell>
          <cell r="J82">
            <v>31981500</v>
          </cell>
          <cell r="K82">
            <v>0</v>
          </cell>
          <cell r="L82">
            <v>31981500</v>
          </cell>
          <cell r="M82">
            <v>8054600</v>
          </cell>
          <cell r="N82">
            <v>23926900</v>
          </cell>
        </row>
        <row r="83">
          <cell r="A83">
            <v>412</v>
          </cell>
          <cell r="B83">
            <v>299</v>
          </cell>
          <cell r="C83">
            <v>43122</v>
          </cell>
          <cell r="D83" t="str">
            <v>JESUS ALIRIO CHIRIMIA PERTIAGA</v>
          </cell>
          <cell r="E83">
            <v>145</v>
          </cell>
          <cell r="F83" t="str">
            <v>CONTRATO DE PRESTACION DE SERVICIOS PROFESIONALES</v>
          </cell>
          <cell r="G83">
            <v>273</v>
          </cell>
          <cell r="H83">
            <v>43122</v>
          </cell>
          <cell r="I83" t="str">
            <v>Prestación de servicios profesionales para la ejecución de actividades a cargo del componente social y en especial lo relativo a la atencion y acompañamiento a las comunidades indigenas beneficiarias del programa de reasentamientos agenciado por la Direccion de Reasentamientos de la caja de la Vivienda Popular.</v>
          </cell>
          <cell r="J83">
            <v>33990000</v>
          </cell>
          <cell r="K83">
            <v>0</v>
          </cell>
          <cell r="L83">
            <v>33990000</v>
          </cell>
          <cell r="M83">
            <v>7704400</v>
          </cell>
          <cell r="N83">
            <v>26285600</v>
          </cell>
        </row>
        <row r="84">
          <cell r="A84">
            <v>343</v>
          </cell>
          <cell r="B84">
            <v>303</v>
          </cell>
          <cell r="C84">
            <v>43122</v>
          </cell>
          <cell r="D84" t="str">
            <v>JOVITA IDALBA SANABRIA CHARRY</v>
          </cell>
          <cell r="E84">
            <v>145</v>
          </cell>
          <cell r="F84" t="str">
            <v>CONTRATO DE PRESTACION DE SERVICIOS PROFESIONALES</v>
          </cell>
          <cell r="G84">
            <v>269</v>
          </cell>
          <cell r="H84">
            <v>43122</v>
          </cell>
          <cell r="I84" t="str">
            <v>Prestación de servicios profesionales, como apoyo jurídico en las actuaciones propias que requiera la Dirección de Reasentamientos de la Caja de la Vivienda Popular en la ejecución del programa de Reasentamientos.</v>
          </cell>
          <cell r="J84">
            <v>36771000</v>
          </cell>
          <cell r="K84">
            <v>0</v>
          </cell>
          <cell r="L84">
            <v>36771000</v>
          </cell>
          <cell r="M84">
            <v>11906800</v>
          </cell>
          <cell r="N84">
            <v>24864200</v>
          </cell>
        </row>
        <row r="85">
          <cell r="A85">
            <v>427</v>
          </cell>
          <cell r="B85">
            <v>305</v>
          </cell>
          <cell r="C85">
            <v>43122</v>
          </cell>
          <cell r="D85" t="str">
            <v>ELCIA  MUÑOZ DE JIMENEZ</v>
          </cell>
          <cell r="E85">
            <v>31</v>
          </cell>
          <cell r="F85" t="str">
            <v>RESOLUCION</v>
          </cell>
          <cell r="G85">
            <v>36</v>
          </cell>
          <cell r="H85">
            <v>43122</v>
          </cell>
          <cell r="I85" t="str">
            <v>Asignacion del instrumento financiero a las familias ocupantes del predio que hayan superado la fase de verificacion dentro  del marco del Decreto 457 de 2017. LOCALIDAD: KENNEDY; BARRIO: VEREDITAS; ID: 2017-8-383725</v>
          </cell>
          <cell r="J85">
            <v>54686940</v>
          </cell>
          <cell r="K85">
            <v>0</v>
          </cell>
          <cell r="L85">
            <v>54686940</v>
          </cell>
          <cell r="M85">
            <v>54686940</v>
          </cell>
          <cell r="N85">
            <v>0</v>
          </cell>
        </row>
        <row r="86">
          <cell r="A86">
            <v>531</v>
          </cell>
          <cell r="B86">
            <v>309</v>
          </cell>
          <cell r="C86">
            <v>43122</v>
          </cell>
          <cell r="D86" t="str">
            <v>MANUEL LEONARDO TELLEZ BELTRAN</v>
          </cell>
          <cell r="E86">
            <v>145</v>
          </cell>
          <cell r="F86" t="str">
            <v>CONTRATO DE PRESTACION DE SERVICIOS PROFESIONALES</v>
          </cell>
          <cell r="G86">
            <v>280</v>
          </cell>
          <cell r="H86">
            <v>43122</v>
          </cell>
          <cell r="I86" t="str">
            <v>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v>
          </cell>
          <cell r="J86">
            <v>68425000</v>
          </cell>
          <cell r="K86">
            <v>0</v>
          </cell>
          <cell r="L86">
            <v>68425000</v>
          </cell>
          <cell r="M86">
            <v>13486667</v>
          </cell>
          <cell r="N86">
            <v>54938333</v>
          </cell>
        </row>
        <row r="87">
          <cell r="A87">
            <v>400</v>
          </cell>
          <cell r="B87">
            <v>311</v>
          </cell>
          <cell r="C87">
            <v>43122</v>
          </cell>
          <cell r="D87" t="str">
            <v>FLOR MARINA MAHECHA SANCHEZ</v>
          </cell>
          <cell r="E87">
            <v>31</v>
          </cell>
          <cell r="F87" t="str">
            <v>RESOLUCION</v>
          </cell>
          <cell r="G87">
            <v>34</v>
          </cell>
          <cell r="H87">
            <v>43122</v>
          </cell>
          <cell r="I87" t="str">
            <v>Asignacion del instrumento financiero a las familias ocupantes del predio que hayan superado la fase de verificacion dentro  del marco del Decreto 457 de 2017. LOCALIDAD: KENNEDY; BARRIO: VEREDITAS; ID: 2017-8-383652</v>
          </cell>
          <cell r="J87">
            <v>54686940</v>
          </cell>
          <cell r="K87">
            <v>0</v>
          </cell>
          <cell r="L87">
            <v>54686940</v>
          </cell>
          <cell r="M87">
            <v>54686940</v>
          </cell>
          <cell r="N87">
            <v>0</v>
          </cell>
        </row>
        <row r="88">
          <cell r="A88">
            <v>420</v>
          </cell>
          <cell r="B88">
            <v>320</v>
          </cell>
          <cell r="C88">
            <v>43123</v>
          </cell>
          <cell r="D88" t="str">
            <v>SONIA MILENA PINZON GARZON</v>
          </cell>
          <cell r="E88">
            <v>145</v>
          </cell>
          <cell r="F88" t="str">
            <v>CONTRATO DE PRESTACION DE SERVICIOS PROFESIONALES</v>
          </cell>
          <cell r="G88">
            <v>272</v>
          </cell>
          <cell r="H88">
            <v>43123</v>
          </cell>
          <cell r="I88"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88">
            <v>24720000</v>
          </cell>
          <cell r="K88">
            <v>0</v>
          </cell>
          <cell r="L88">
            <v>24720000</v>
          </cell>
          <cell r="M88">
            <v>9338667</v>
          </cell>
          <cell r="N88">
            <v>15381333</v>
          </cell>
        </row>
        <row r="89">
          <cell r="A89">
            <v>454</v>
          </cell>
          <cell r="B89">
            <v>321</v>
          </cell>
          <cell r="C89">
            <v>43123</v>
          </cell>
          <cell r="D89" t="str">
            <v>DORIS JOHANNA NOVOA LOZANO</v>
          </cell>
          <cell r="E89">
            <v>145</v>
          </cell>
          <cell r="F89" t="str">
            <v>CONTRATO DE PRESTACION DE SERVICIOS PROFESIONALES</v>
          </cell>
          <cell r="G89">
            <v>262</v>
          </cell>
          <cell r="H89">
            <v>43123</v>
          </cell>
          <cell r="I89"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89">
            <v>33990000</v>
          </cell>
          <cell r="K89">
            <v>0</v>
          </cell>
          <cell r="L89">
            <v>33990000</v>
          </cell>
          <cell r="M89">
            <v>12651833</v>
          </cell>
          <cell r="N89">
            <v>21338167</v>
          </cell>
        </row>
        <row r="90">
          <cell r="A90">
            <v>438</v>
          </cell>
          <cell r="B90">
            <v>322</v>
          </cell>
          <cell r="C90">
            <v>43123</v>
          </cell>
          <cell r="D90" t="str">
            <v>INGRID ESTEFANY YAGUE RODRIGUEZ</v>
          </cell>
          <cell r="E90">
            <v>145</v>
          </cell>
          <cell r="F90" t="str">
            <v>CONTRATO DE PRESTACION DE SERVICIOS PROFESIONALES</v>
          </cell>
          <cell r="G90">
            <v>260</v>
          </cell>
          <cell r="H90">
            <v>43123</v>
          </cell>
          <cell r="I90"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90">
            <v>20394000</v>
          </cell>
          <cell r="K90">
            <v>0</v>
          </cell>
          <cell r="L90">
            <v>20394000</v>
          </cell>
          <cell r="M90">
            <v>7704400</v>
          </cell>
          <cell r="N90">
            <v>12689600</v>
          </cell>
        </row>
        <row r="91">
          <cell r="A91">
            <v>314</v>
          </cell>
          <cell r="B91">
            <v>325</v>
          </cell>
          <cell r="C91">
            <v>43123</v>
          </cell>
          <cell r="D91" t="str">
            <v>ANGELICA MARIA BARREIRO GARRIDO</v>
          </cell>
          <cell r="E91">
            <v>145</v>
          </cell>
          <cell r="F91" t="str">
            <v>CONTRATO DE PRESTACION DE SERVICIOS PROFESIONALES</v>
          </cell>
          <cell r="G91">
            <v>286</v>
          </cell>
          <cell r="H91">
            <v>43123</v>
          </cell>
          <cell r="I91" t="str">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v>
          </cell>
          <cell r="J91">
            <v>41200000</v>
          </cell>
          <cell r="K91">
            <v>0</v>
          </cell>
          <cell r="L91">
            <v>41200000</v>
          </cell>
          <cell r="M91">
            <v>9338667</v>
          </cell>
          <cell r="N91">
            <v>31861333</v>
          </cell>
        </row>
        <row r="92">
          <cell r="A92">
            <v>377</v>
          </cell>
          <cell r="B92">
            <v>327</v>
          </cell>
          <cell r="C92">
            <v>43123</v>
          </cell>
          <cell r="D92" t="str">
            <v>MARLEN  PRIETO QUIROGA</v>
          </cell>
          <cell r="E92">
            <v>31</v>
          </cell>
          <cell r="F92" t="str">
            <v>RESOLUCION</v>
          </cell>
          <cell r="G92">
            <v>35</v>
          </cell>
          <cell r="H92">
            <v>43123</v>
          </cell>
          <cell r="I92" t="str">
            <v>Asignacion del instrumento financiero a las familias ocupantes del predio que hayan superado la fase de verificacion dentro  del marco del Decreto 457 de 2017. LOCALIDAD: KENNEDY; BARRIO: VEREDITAS; ID: 2017-8-383660.</v>
          </cell>
          <cell r="J92">
            <v>54686940</v>
          </cell>
          <cell r="K92">
            <v>0</v>
          </cell>
          <cell r="L92">
            <v>54686940</v>
          </cell>
          <cell r="M92">
            <v>54686940</v>
          </cell>
          <cell r="N92">
            <v>0</v>
          </cell>
        </row>
        <row r="93">
          <cell r="A93">
            <v>428</v>
          </cell>
          <cell r="B93">
            <v>328</v>
          </cell>
          <cell r="C93">
            <v>43123</v>
          </cell>
          <cell r="D93" t="str">
            <v>YULI ALEJANDRA RICO GUTIERREZ</v>
          </cell>
          <cell r="E93">
            <v>31</v>
          </cell>
          <cell r="F93" t="str">
            <v>RESOLUCION</v>
          </cell>
          <cell r="G93">
            <v>33</v>
          </cell>
          <cell r="H93">
            <v>43123</v>
          </cell>
          <cell r="I93" t="str">
            <v>Asignacion del instrumento financiero a las familias ocupantes del predio que hayan superado la fase de verificacion dentro  del marco del Decreto 457 de 2017. LOCALIDAD: KENNEDY; BARRIO: VEREDITAS; ID: 2017-8-383788</v>
          </cell>
          <cell r="J93">
            <v>54686940</v>
          </cell>
          <cell r="K93">
            <v>0</v>
          </cell>
          <cell r="L93">
            <v>54686940</v>
          </cell>
          <cell r="M93">
            <v>54686940</v>
          </cell>
          <cell r="N93">
            <v>0</v>
          </cell>
        </row>
        <row r="94">
          <cell r="A94">
            <v>408</v>
          </cell>
          <cell r="B94">
            <v>330</v>
          </cell>
          <cell r="C94">
            <v>43123</v>
          </cell>
          <cell r="D94" t="str">
            <v>VALENTINA  LOMANTO PERDOMO</v>
          </cell>
          <cell r="E94">
            <v>145</v>
          </cell>
          <cell r="F94" t="str">
            <v>CONTRATO DE PRESTACION DE SERVICIOS PROFESIONALES</v>
          </cell>
          <cell r="G94">
            <v>289</v>
          </cell>
          <cell r="H94">
            <v>43123</v>
          </cell>
          <cell r="I94" t="str">
            <v>Prestación de servicios profesionales para la ejecución de actividades a cargo del componente social y en especial lo relativo a la estrategia de Resiliencia y Sostenibilidad de la comunidad, en la Dirección de Reasentamientos de la Caja de la Vivienda Popular</v>
          </cell>
          <cell r="J94">
            <v>39088500</v>
          </cell>
          <cell r="K94">
            <v>0</v>
          </cell>
          <cell r="L94">
            <v>39088500</v>
          </cell>
          <cell r="M94">
            <v>8054600</v>
          </cell>
          <cell r="N94">
            <v>31033900</v>
          </cell>
        </row>
        <row r="95">
          <cell r="A95">
            <v>466</v>
          </cell>
          <cell r="B95">
            <v>334</v>
          </cell>
          <cell r="C95">
            <v>43123</v>
          </cell>
          <cell r="D95" t="str">
            <v>FRANCISCO EUGENIO SUPELANO SUAREZ</v>
          </cell>
          <cell r="E95">
            <v>145</v>
          </cell>
          <cell r="F95" t="str">
            <v>CONTRATO DE PRESTACION DE SERVICIOS PROFESIONALES</v>
          </cell>
          <cell r="G95">
            <v>339</v>
          </cell>
          <cell r="H95">
            <v>43123</v>
          </cell>
          <cell r="I95"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95">
            <v>36050000</v>
          </cell>
          <cell r="K95">
            <v>0</v>
          </cell>
          <cell r="L95">
            <v>36050000</v>
          </cell>
          <cell r="M95">
            <v>15862000</v>
          </cell>
          <cell r="N95">
            <v>20188000</v>
          </cell>
        </row>
        <row r="96">
          <cell r="A96">
            <v>456</v>
          </cell>
          <cell r="B96">
            <v>335</v>
          </cell>
          <cell r="C96">
            <v>43123</v>
          </cell>
          <cell r="D96" t="str">
            <v>LUZ MARINA MEDINA DURAN</v>
          </cell>
          <cell r="E96">
            <v>145</v>
          </cell>
          <cell r="F96" t="str">
            <v>CONTRATO DE PRESTACION DE SERVICIOS PROFESIONALES</v>
          </cell>
          <cell r="G96">
            <v>340</v>
          </cell>
          <cell r="H96">
            <v>43123</v>
          </cell>
          <cell r="I96"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96">
            <v>37080000</v>
          </cell>
          <cell r="K96">
            <v>0</v>
          </cell>
          <cell r="L96">
            <v>37080000</v>
          </cell>
          <cell r="M96">
            <v>13596000</v>
          </cell>
          <cell r="N96">
            <v>23484000</v>
          </cell>
        </row>
        <row r="97">
          <cell r="A97">
            <v>369</v>
          </cell>
          <cell r="B97">
            <v>336</v>
          </cell>
          <cell r="C97">
            <v>43123</v>
          </cell>
          <cell r="D97" t="str">
            <v>BLANCA CECILIA QUINTERO CHAVARRO</v>
          </cell>
          <cell r="E97">
            <v>145</v>
          </cell>
          <cell r="F97" t="str">
            <v>CONTRATO DE PRESTACION DE SERVICIOS PROFESIONALES</v>
          </cell>
          <cell r="G97">
            <v>341</v>
          </cell>
          <cell r="H97">
            <v>43123</v>
          </cell>
          <cell r="I97"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97">
            <v>16995000</v>
          </cell>
          <cell r="K97">
            <v>0</v>
          </cell>
          <cell r="L97">
            <v>16995000</v>
          </cell>
          <cell r="M97">
            <v>7477800</v>
          </cell>
          <cell r="N97">
            <v>9517200</v>
          </cell>
        </row>
        <row r="98">
          <cell r="A98">
            <v>415</v>
          </cell>
          <cell r="B98">
            <v>337</v>
          </cell>
          <cell r="C98">
            <v>43123</v>
          </cell>
          <cell r="D98" t="str">
            <v>LIZETH YANIRA ARDILA MUÑOZ</v>
          </cell>
          <cell r="E98">
            <v>145</v>
          </cell>
          <cell r="F98" t="str">
            <v>CONTRATO DE PRESTACION DE SERVICIOS PROFESIONALES</v>
          </cell>
          <cell r="G98">
            <v>342</v>
          </cell>
          <cell r="H98">
            <v>43123</v>
          </cell>
          <cell r="I98"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98">
            <v>21321000</v>
          </cell>
          <cell r="K98">
            <v>0</v>
          </cell>
          <cell r="L98">
            <v>21321000</v>
          </cell>
          <cell r="M98">
            <v>7817700</v>
          </cell>
          <cell r="N98">
            <v>13503300</v>
          </cell>
        </row>
        <row r="99">
          <cell r="A99">
            <v>380</v>
          </cell>
          <cell r="B99">
            <v>338</v>
          </cell>
          <cell r="C99">
            <v>43123</v>
          </cell>
          <cell r="D99" t="str">
            <v>ALEXANDER  MARTINEZ</v>
          </cell>
          <cell r="E99">
            <v>148</v>
          </cell>
          <cell r="F99" t="str">
            <v>CONTRATO DE PRESTACION DE SERVICIOS DE APOYO A LA GESTION</v>
          </cell>
          <cell r="G99">
            <v>343</v>
          </cell>
          <cell r="H99">
            <v>43123</v>
          </cell>
          <cell r="I99" t="str">
            <v>Prestación de servicios de apoyo a la gestión en lo relacionado con los trámites requeridos para el manejo de archivo y gestión documental generado desde la Dirección de Reasentamientos de la Caja de la Vivienda Popular.</v>
          </cell>
          <cell r="J99">
            <v>19261000</v>
          </cell>
          <cell r="K99">
            <v>0</v>
          </cell>
          <cell r="L99">
            <v>19261000</v>
          </cell>
          <cell r="M99">
            <v>3852200</v>
          </cell>
          <cell r="N99">
            <v>15408800</v>
          </cell>
        </row>
        <row r="100">
          <cell r="A100">
            <v>376</v>
          </cell>
          <cell r="B100">
            <v>339</v>
          </cell>
          <cell r="C100">
            <v>43123</v>
          </cell>
          <cell r="D100" t="str">
            <v>DORIAN DE JESUS COQUIES MAESTRE</v>
          </cell>
          <cell r="E100">
            <v>145</v>
          </cell>
          <cell r="F100" t="str">
            <v>CONTRATO DE PRESTACION DE SERVICIOS PROFESIONALES</v>
          </cell>
          <cell r="G100">
            <v>344</v>
          </cell>
          <cell r="H100">
            <v>43123</v>
          </cell>
          <cell r="I100"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00">
            <v>30220200</v>
          </cell>
          <cell r="K100">
            <v>0</v>
          </cell>
          <cell r="L100">
            <v>30220200</v>
          </cell>
          <cell r="M100">
            <v>10912850</v>
          </cell>
          <cell r="N100">
            <v>19307350</v>
          </cell>
        </row>
        <row r="101">
          <cell r="A101">
            <v>414</v>
          </cell>
          <cell r="B101">
            <v>340</v>
          </cell>
          <cell r="C101">
            <v>43123</v>
          </cell>
          <cell r="D101" t="str">
            <v>JUAN PABLO MOJICA FRIEDE</v>
          </cell>
          <cell r="E101">
            <v>145</v>
          </cell>
          <cell r="F101" t="str">
            <v>CONTRATO DE PRESTACION DE SERVICIOS PROFESIONALES</v>
          </cell>
          <cell r="G101">
            <v>345</v>
          </cell>
          <cell r="H101">
            <v>43123</v>
          </cell>
          <cell r="I101"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01">
            <v>21321000</v>
          </cell>
          <cell r="K101">
            <v>0</v>
          </cell>
          <cell r="L101">
            <v>21321000</v>
          </cell>
          <cell r="M101">
            <v>7580800</v>
          </cell>
          <cell r="N101">
            <v>13740200</v>
          </cell>
        </row>
        <row r="102">
          <cell r="A102">
            <v>365</v>
          </cell>
          <cell r="B102">
            <v>341</v>
          </cell>
          <cell r="C102">
            <v>43123</v>
          </cell>
          <cell r="D102" t="str">
            <v>CAMILA ANDREA HUERTAS HUERTAS</v>
          </cell>
          <cell r="E102">
            <v>148</v>
          </cell>
          <cell r="F102" t="str">
            <v>CONTRATO DE PRESTACION DE SERVICIOS DE APOYO A LA GESTION</v>
          </cell>
          <cell r="G102">
            <v>292</v>
          </cell>
          <cell r="H102">
            <v>43123</v>
          </cell>
          <cell r="I102" t="str">
            <v>Prestación de servicios de apoyo a la gestión en lo relacionado con el manejo de archivo y gestión documental generado desde la Dirección de Reasentamientos de la Caja de la Vivienda Popular.</v>
          </cell>
          <cell r="J102">
            <v>27192000</v>
          </cell>
          <cell r="K102">
            <v>0</v>
          </cell>
          <cell r="L102">
            <v>27192000</v>
          </cell>
          <cell r="M102">
            <v>5520800</v>
          </cell>
          <cell r="N102">
            <v>21671200</v>
          </cell>
        </row>
        <row r="103">
          <cell r="A103">
            <v>313</v>
          </cell>
          <cell r="B103">
            <v>342</v>
          </cell>
          <cell r="C103">
            <v>43123</v>
          </cell>
          <cell r="D103" t="str">
            <v>ANA MARÍA ESCUDERO ORTIZ</v>
          </cell>
          <cell r="E103">
            <v>145</v>
          </cell>
          <cell r="F103" t="str">
            <v>CONTRATO DE PRESTACION DE SERVICIOS PROFESIONALES</v>
          </cell>
          <cell r="G103">
            <v>346</v>
          </cell>
          <cell r="H103">
            <v>43123</v>
          </cell>
          <cell r="I103" t="str">
            <v>Prestación de servicios profesionales en el componente social de la Dirección de Reasentamientos de la Caja de la Vivienda Popular, para la ejecución de planes y programas agenciados por el área misional.</v>
          </cell>
          <cell r="J103">
            <v>31981500</v>
          </cell>
          <cell r="K103">
            <v>0</v>
          </cell>
          <cell r="L103">
            <v>31981500</v>
          </cell>
          <cell r="M103">
            <v>7699250</v>
          </cell>
          <cell r="N103">
            <v>24282250</v>
          </cell>
        </row>
        <row r="104">
          <cell r="A104">
            <v>201</v>
          </cell>
          <cell r="B104">
            <v>344</v>
          </cell>
          <cell r="C104">
            <v>43123</v>
          </cell>
          <cell r="D104" t="str">
            <v>FABIAN DANILO CAICEDO MOLINA</v>
          </cell>
          <cell r="E104">
            <v>148</v>
          </cell>
          <cell r="F104" t="str">
            <v>CONTRATO DE PRESTACION DE SERVICIOS DE APOYO A LA GESTION</v>
          </cell>
          <cell r="G104">
            <v>293</v>
          </cell>
          <cell r="H104">
            <v>43123</v>
          </cell>
          <cell r="I104" t="str">
            <v>Prestación de servicios de apoyo a la gestión en la implementación de nuevos módulos para el Sistema de Información Geográfica de la Dirección de Reasentamientos de la Caja de la Vivienda Popular</v>
          </cell>
          <cell r="J104">
            <v>24308000</v>
          </cell>
          <cell r="K104">
            <v>0</v>
          </cell>
          <cell r="L104">
            <v>24308000</v>
          </cell>
          <cell r="M104">
            <v>6785983</v>
          </cell>
          <cell r="N104">
            <v>17522017</v>
          </cell>
        </row>
        <row r="105">
          <cell r="A105">
            <v>230</v>
          </cell>
          <cell r="B105">
            <v>345</v>
          </cell>
          <cell r="C105">
            <v>43123</v>
          </cell>
          <cell r="D105" t="str">
            <v>WILLIAM FERNANDO HURTADO FERNANDEZ</v>
          </cell>
          <cell r="E105">
            <v>145</v>
          </cell>
          <cell r="F105" t="str">
            <v>CONTRATO DE PRESTACION DE SERVICIOS PROFESIONALES</v>
          </cell>
          <cell r="G105">
            <v>348</v>
          </cell>
          <cell r="H105">
            <v>43123</v>
          </cell>
          <cell r="I105" t="str">
            <v>PRESTACIÓN DE SERVICIOS PROFESIONALES EN LOS PROCEDIMIENTOS A CARGO DE LA DIRECCIÓN DE REASENTAMIENTO PARA EL CUMPLIMIENTO DE SUS OBJETIVOS.</v>
          </cell>
          <cell r="J105">
            <v>20394000</v>
          </cell>
          <cell r="K105">
            <v>0</v>
          </cell>
          <cell r="L105">
            <v>20394000</v>
          </cell>
          <cell r="M105">
            <v>7477800</v>
          </cell>
          <cell r="N105">
            <v>12916200</v>
          </cell>
        </row>
        <row r="106">
          <cell r="A106">
            <v>318</v>
          </cell>
          <cell r="B106">
            <v>346</v>
          </cell>
          <cell r="C106">
            <v>43123</v>
          </cell>
          <cell r="D106" t="str">
            <v>LINA ANDREA GARCIA MUÑOZ</v>
          </cell>
          <cell r="E106">
            <v>145</v>
          </cell>
          <cell r="F106" t="str">
            <v>CONTRATO DE PRESTACION DE SERVICIOS PROFESIONALES</v>
          </cell>
          <cell r="G106">
            <v>294</v>
          </cell>
          <cell r="H106">
            <v>43123</v>
          </cell>
          <cell r="I106" t="str">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v>
          </cell>
          <cell r="J106">
            <v>27192000</v>
          </cell>
          <cell r="K106">
            <v>0</v>
          </cell>
          <cell r="L106">
            <v>27192000</v>
          </cell>
          <cell r="M106">
            <v>7591100</v>
          </cell>
          <cell r="N106">
            <v>19600900</v>
          </cell>
        </row>
        <row r="107">
          <cell r="A107">
            <v>356</v>
          </cell>
          <cell r="B107">
            <v>347</v>
          </cell>
          <cell r="C107">
            <v>43123</v>
          </cell>
          <cell r="D107" t="str">
            <v>LUIS JORGE PATAQUIVA SILVA</v>
          </cell>
          <cell r="E107">
            <v>145</v>
          </cell>
          <cell r="F107" t="str">
            <v>CONTRATO DE PRESTACION DE SERVICIOS PROFESIONALES</v>
          </cell>
          <cell r="G107">
            <v>349</v>
          </cell>
          <cell r="H107">
            <v>43123</v>
          </cell>
          <cell r="I107" t="str">
            <v>PRESTACIÓN DE SERVICIOS PROFESIONALES A LA DIRECCIÓN DE REASENTAMIENTOS DE LA CAJA DE LA VIVIENDA POPULAR, APOYANDO EL SEGUIMIENTO ADMINISTRATIVO Y FINANCIERO EN RELACIÓN CON LOS PROCESOS Y PROCEDIMIENTOS DEL ÁREA MISIONAL.</v>
          </cell>
          <cell r="J107">
            <v>82400000</v>
          </cell>
          <cell r="K107">
            <v>0</v>
          </cell>
          <cell r="L107">
            <v>82400000</v>
          </cell>
          <cell r="M107">
            <v>18128000</v>
          </cell>
          <cell r="N107">
            <v>64272000</v>
          </cell>
        </row>
        <row r="108">
          <cell r="A108">
            <v>204</v>
          </cell>
          <cell r="B108">
            <v>348</v>
          </cell>
          <cell r="C108">
            <v>43123</v>
          </cell>
          <cell r="D108" t="str">
            <v>MARGARITA MARIA GIRALDO CALDERON</v>
          </cell>
          <cell r="E108">
            <v>145</v>
          </cell>
          <cell r="F108" t="str">
            <v>CONTRATO DE PRESTACION DE SERVICIOS PROFESIONALES</v>
          </cell>
          <cell r="G108">
            <v>295</v>
          </cell>
          <cell r="H108">
            <v>43123</v>
          </cell>
          <cell r="I108" t="str">
            <v>Prestación de servicios profesionales en la Dirección de Reasentamientos de la Caja de la Vivienda Popular, apoyando la ejecución de las diferentes actividades relacionadas con el componente técnico del área misional</v>
          </cell>
          <cell r="J108">
            <v>37080000</v>
          </cell>
          <cell r="K108">
            <v>0</v>
          </cell>
          <cell r="L108">
            <v>37080000</v>
          </cell>
          <cell r="M108">
            <v>5905333</v>
          </cell>
          <cell r="N108">
            <v>31174667</v>
          </cell>
        </row>
        <row r="109">
          <cell r="A109">
            <v>344</v>
          </cell>
          <cell r="B109">
            <v>349</v>
          </cell>
          <cell r="C109">
            <v>43123</v>
          </cell>
          <cell r="D109" t="str">
            <v>MARIA XIMENA AVILA ACOSTA</v>
          </cell>
          <cell r="E109">
            <v>148</v>
          </cell>
          <cell r="F109" t="str">
            <v>CONTRATO DE PRESTACION DE SERVICIOS DE APOYO A LA GESTION</v>
          </cell>
          <cell r="G109">
            <v>350</v>
          </cell>
          <cell r="H109">
            <v>43123</v>
          </cell>
          <cell r="I109" t="str">
            <v>Prestar sus servicios de apoyo a la gestión en la Dirección de Reasentamientos, brindando acompañamiento al componente social desarrollado en el marco de las acciones misionales a cargo de la entidad.</v>
          </cell>
          <cell r="J109">
            <v>30385000</v>
          </cell>
          <cell r="K109">
            <v>0</v>
          </cell>
          <cell r="L109">
            <v>30385000</v>
          </cell>
          <cell r="M109">
            <v>6684700</v>
          </cell>
          <cell r="N109">
            <v>23700300</v>
          </cell>
        </row>
        <row r="110">
          <cell r="A110">
            <v>213</v>
          </cell>
          <cell r="B110">
            <v>350</v>
          </cell>
          <cell r="C110">
            <v>43123</v>
          </cell>
          <cell r="D110" t="str">
            <v>CAREN MILENA ROMERO FIGUEROA</v>
          </cell>
          <cell r="E110">
            <v>145</v>
          </cell>
          <cell r="F110" t="str">
            <v>CONTRATO DE PRESTACION DE SERVICIOS PROFESIONALES</v>
          </cell>
          <cell r="G110">
            <v>296</v>
          </cell>
          <cell r="H110">
            <v>43123</v>
          </cell>
          <cell r="I110" t="str">
            <v>Prestación de servicios profesionales desde el componente jurídico, para realizar el seguimiento y control al cumplimiento de requisitos legales y reglamentarios, de las familias beneficiarias del programa de Reasentamientos de la Caja de la Vivienda Popular</v>
          </cell>
          <cell r="J110">
            <v>32960000</v>
          </cell>
          <cell r="K110">
            <v>0</v>
          </cell>
          <cell r="L110">
            <v>32960000</v>
          </cell>
          <cell r="M110">
            <v>9201333</v>
          </cell>
          <cell r="N110">
            <v>23758667</v>
          </cell>
        </row>
        <row r="111">
          <cell r="A111">
            <v>322</v>
          </cell>
          <cell r="B111">
            <v>351</v>
          </cell>
          <cell r="C111">
            <v>43123</v>
          </cell>
          <cell r="D111" t="str">
            <v>MARIAN GHERALDINE BERMUDEZ SOLANO</v>
          </cell>
          <cell r="E111">
            <v>145</v>
          </cell>
          <cell r="F111" t="str">
            <v>CONTRATO DE PRESTACION DE SERVICIOS PROFESIONALES</v>
          </cell>
          <cell r="G111">
            <v>297</v>
          </cell>
          <cell r="H111">
            <v>43123</v>
          </cell>
          <cell r="I111" t="str">
            <v>Prestación de servicios profesionales para apoyar la planificación, seguimiento y evaluación de los procesos y procedimientos de la Dirección de Reasentamientos, a través de las herramientas de seguimiento y gestión que posee la Caja de la Vivienda Popular</v>
          </cell>
          <cell r="J111">
            <v>55403700</v>
          </cell>
          <cell r="K111">
            <v>0</v>
          </cell>
          <cell r="L111">
            <v>55403700</v>
          </cell>
          <cell r="M111">
            <v>9569730</v>
          </cell>
          <cell r="N111">
            <v>45833970</v>
          </cell>
        </row>
        <row r="112">
          <cell r="A112">
            <v>417</v>
          </cell>
          <cell r="B112">
            <v>353</v>
          </cell>
          <cell r="C112">
            <v>43123</v>
          </cell>
          <cell r="D112" t="str">
            <v>NATALIA JACKELINE MANRIQUE TRUJILLO</v>
          </cell>
          <cell r="E112">
            <v>145</v>
          </cell>
          <cell r="F112" t="str">
            <v>CONTRATO DE PRESTACION DE SERVICIOS PROFESIONALES</v>
          </cell>
          <cell r="G112">
            <v>351</v>
          </cell>
          <cell r="H112">
            <v>43123</v>
          </cell>
          <cell r="I112"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2">
            <v>27192000</v>
          </cell>
          <cell r="K112">
            <v>0</v>
          </cell>
          <cell r="L112">
            <v>27192000</v>
          </cell>
          <cell r="M112">
            <v>9970400</v>
          </cell>
          <cell r="N112">
            <v>17221600</v>
          </cell>
        </row>
        <row r="113">
          <cell r="A113">
            <v>389</v>
          </cell>
          <cell r="B113">
            <v>355</v>
          </cell>
          <cell r="C113">
            <v>43123</v>
          </cell>
          <cell r="D113" t="str">
            <v>CAROL ELIANA GONZALEZ GOMEZ</v>
          </cell>
          <cell r="E113">
            <v>148</v>
          </cell>
          <cell r="F113" t="str">
            <v>CONTRATO DE PRESTACION DE SERVICIOS DE APOYO A LA GESTION</v>
          </cell>
          <cell r="G113">
            <v>352</v>
          </cell>
          <cell r="H113">
            <v>43123</v>
          </cell>
          <cell r="I113" t="str">
            <v>Prestación de servicios de apoyo a la gestión en lo relacionado con los trámites requeridos para el manejo de archivo y gestión documental generado desde la Dirección de Reasentamientos de la Caja de la Vivienda Popular.</v>
          </cell>
          <cell r="J113">
            <v>16995000</v>
          </cell>
          <cell r="K113">
            <v>0</v>
          </cell>
          <cell r="L113">
            <v>16995000</v>
          </cell>
          <cell r="M113">
            <v>3399000</v>
          </cell>
          <cell r="N113">
            <v>13596000</v>
          </cell>
        </row>
        <row r="114">
          <cell r="A114">
            <v>336</v>
          </cell>
          <cell r="B114">
            <v>356</v>
          </cell>
          <cell r="C114">
            <v>43123</v>
          </cell>
          <cell r="D114" t="str">
            <v>INGRID CATALINA GOMEZ OSSA</v>
          </cell>
          <cell r="E114">
            <v>145</v>
          </cell>
          <cell r="F114" t="str">
            <v>CONTRATO DE PRESTACION DE SERVICIOS PROFESIONALES</v>
          </cell>
          <cell r="G114">
            <v>354</v>
          </cell>
          <cell r="H114">
            <v>43123</v>
          </cell>
          <cell r="I114" t="str">
            <v>Prestación de servicios profesionales en las actividades relacionadas con Planeación institucional y Sistema Integrado de Gestión de la Dirección de Reasentamientos, a través de las herramientas de seguimiento y gestión que posee la Caja de la Vivienda Popular</v>
          </cell>
          <cell r="J114">
            <v>79310000</v>
          </cell>
          <cell r="K114">
            <v>0</v>
          </cell>
          <cell r="L114">
            <v>79310000</v>
          </cell>
          <cell r="M114">
            <v>15621667</v>
          </cell>
          <cell r="N114">
            <v>63688333</v>
          </cell>
        </row>
        <row r="115">
          <cell r="A115">
            <v>374</v>
          </cell>
          <cell r="B115">
            <v>359</v>
          </cell>
          <cell r="C115">
            <v>43123</v>
          </cell>
          <cell r="D115" t="str">
            <v>ALBERTO  RODRIGUEZ GOMEZ</v>
          </cell>
          <cell r="E115">
            <v>145</v>
          </cell>
          <cell r="F115" t="str">
            <v>CONTRATO DE PRESTACION DE SERVICIOS PROFESIONALES</v>
          </cell>
          <cell r="G115">
            <v>300</v>
          </cell>
          <cell r="H115">
            <v>43123</v>
          </cell>
          <cell r="I115" t="str">
            <v>Prestar sus servicios profesionales en la Dirección de Reasentamientos de la Caja de la Vivienda Popular, apoyando la ejecución de las diferentes actividades relacionadas con el componente tecnico del area misional.</v>
          </cell>
          <cell r="J115">
            <v>37080000</v>
          </cell>
          <cell r="K115">
            <v>0</v>
          </cell>
          <cell r="L115">
            <v>37080000</v>
          </cell>
          <cell r="M115">
            <v>8514667</v>
          </cell>
          <cell r="N115">
            <v>28565333</v>
          </cell>
        </row>
        <row r="116">
          <cell r="A116">
            <v>361</v>
          </cell>
          <cell r="B116">
            <v>367</v>
          </cell>
          <cell r="C116">
            <v>43124</v>
          </cell>
          <cell r="D116" t="str">
            <v>MARTHA CECILIA DIAZ ROCHA</v>
          </cell>
          <cell r="E116">
            <v>148</v>
          </cell>
          <cell r="F116" t="str">
            <v>CONTRATO DE PRESTACION DE SERVICIOS DE APOYO A LA GESTION</v>
          </cell>
          <cell r="G116">
            <v>267</v>
          </cell>
          <cell r="H116">
            <v>43124</v>
          </cell>
          <cell r="I116" t="str">
            <v>Prestación de servicios de apoyo a la gestión en lo relacionado con los trámites requeridos para el manejo de archivo y gestión documental generado desde la Dirección de Reasentamientos de la Caja de la Vivienda Popular.</v>
          </cell>
          <cell r="J116">
            <v>10506000</v>
          </cell>
          <cell r="K116">
            <v>0</v>
          </cell>
          <cell r="L116">
            <v>10506000</v>
          </cell>
          <cell r="M116">
            <v>3910566</v>
          </cell>
          <cell r="N116">
            <v>6595434</v>
          </cell>
        </row>
        <row r="117">
          <cell r="A117">
            <v>327</v>
          </cell>
          <cell r="B117">
            <v>369</v>
          </cell>
          <cell r="C117">
            <v>43124</v>
          </cell>
          <cell r="D117" t="str">
            <v>DAMIAN LEONARDO QUIROGA DIAZ</v>
          </cell>
          <cell r="E117">
            <v>145</v>
          </cell>
          <cell r="F117" t="str">
            <v>CONTRATO DE PRESTACION DE SERVICIOS PROFESIONALES</v>
          </cell>
          <cell r="G117">
            <v>324</v>
          </cell>
          <cell r="H117">
            <v>43124</v>
          </cell>
          <cell r="I117" t="str">
            <v>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v>
          </cell>
          <cell r="J117">
            <v>61800000</v>
          </cell>
          <cell r="K117">
            <v>0</v>
          </cell>
          <cell r="L117">
            <v>61800000</v>
          </cell>
          <cell r="M117">
            <v>13802000</v>
          </cell>
          <cell r="N117">
            <v>47998000</v>
          </cell>
        </row>
        <row r="118">
          <cell r="A118">
            <v>424</v>
          </cell>
          <cell r="B118">
            <v>371</v>
          </cell>
          <cell r="C118">
            <v>43124</v>
          </cell>
          <cell r="D118" t="str">
            <v>ANGEL EDUARDO TRIANA ROJAS</v>
          </cell>
          <cell r="E118">
            <v>145</v>
          </cell>
          <cell r="F118" t="str">
            <v>CONTRATO DE PRESTACION DE SERVICIOS PROFESIONALES</v>
          </cell>
          <cell r="G118">
            <v>325</v>
          </cell>
          <cell r="H118">
            <v>43124</v>
          </cell>
          <cell r="I118"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8">
            <v>43260000</v>
          </cell>
          <cell r="K118">
            <v>0</v>
          </cell>
          <cell r="L118">
            <v>43260000</v>
          </cell>
          <cell r="M118">
            <v>16102333</v>
          </cell>
          <cell r="N118">
            <v>27157667</v>
          </cell>
        </row>
        <row r="119">
          <cell r="A119">
            <v>471</v>
          </cell>
          <cell r="B119">
            <v>373</v>
          </cell>
          <cell r="C119">
            <v>43124</v>
          </cell>
          <cell r="D119" t="str">
            <v>FRANCISCO JOSE ARGUELLO ROJAS</v>
          </cell>
          <cell r="E119">
            <v>145</v>
          </cell>
          <cell r="F119" t="str">
            <v>CONTRATO DE PRESTACION DE SERVICIOS PROFESIONALES</v>
          </cell>
          <cell r="G119">
            <v>304</v>
          </cell>
          <cell r="H119">
            <v>43124</v>
          </cell>
          <cell r="I119" t="str">
            <v>PRESTAR LOS SERVICIOS PROFESIONALES PARA LA PLANEACION, REALIZACION, Y DESARROLLO DE CONTENIDOS PERIODÍSTICOS QUE PERMITAN LA DIFUSION Y DIVULGACION DE LA GESTION SOCIAL QUE ADELANTA LA CVP CON LAS COMUNIDADES, A TRAVÉS DE SUS PROGRAMAS MISIONALES.</v>
          </cell>
          <cell r="J119">
            <v>11330000</v>
          </cell>
          <cell r="K119">
            <v>0</v>
          </cell>
          <cell r="L119">
            <v>11330000</v>
          </cell>
          <cell r="M119">
            <v>2300333</v>
          </cell>
          <cell r="N119">
            <v>9029667</v>
          </cell>
        </row>
        <row r="120">
          <cell r="A120">
            <v>411</v>
          </cell>
          <cell r="B120">
            <v>377</v>
          </cell>
          <cell r="C120">
            <v>43124</v>
          </cell>
          <cell r="D120" t="str">
            <v>MARGARITA LUCIA GOMEZ ECHEVERRY</v>
          </cell>
          <cell r="E120">
            <v>145</v>
          </cell>
          <cell r="F120" t="str">
            <v>CONTRATO DE PRESTACION DE SERVICIOS PROFESIONALES</v>
          </cell>
          <cell r="G120">
            <v>327</v>
          </cell>
          <cell r="H120">
            <v>43124</v>
          </cell>
          <cell r="I120" t="str">
            <v>Prestación de servicios profesionales en el componente social de la Dirección de Reasentamientos de la Caja de la Vivienda Popular, para la ejecución de planes y programas agenciados por el área misional</v>
          </cell>
          <cell r="J120">
            <v>37080000</v>
          </cell>
          <cell r="K120">
            <v>0</v>
          </cell>
          <cell r="L120">
            <v>37080000</v>
          </cell>
          <cell r="M120">
            <v>2746666</v>
          </cell>
          <cell r="N120">
            <v>34333334</v>
          </cell>
        </row>
        <row r="121">
          <cell r="A121">
            <v>320</v>
          </cell>
          <cell r="B121">
            <v>380</v>
          </cell>
          <cell r="C121">
            <v>43124</v>
          </cell>
          <cell r="D121" t="str">
            <v>MARIA VICTORIA APONTE VALVERDE</v>
          </cell>
          <cell r="E121">
            <v>145</v>
          </cell>
          <cell r="F121" t="str">
            <v>CONTRATO DE PRESTACION DE SERVICIOS PROFESIONALES</v>
          </cell>
          <cell r="G121">
            <v>306</v>
          </cell>
          <cell r="H121">
            <v>43124</v>
          </cell>
          <cell r="I121" t="str">
            <v>Prestación de servicios profesionales, en temas relacionados con el componente social apoyando procesos y procedimientos propios de la Dirección de Reasentamientos de la Caja de la Vivienda popular</v>
          </cell>
          <cell r="J121">
            <v>90640000</v>
          </cell>
          <cell r="K121">
            <v>0</v>
          </cell>
          <cell r="L121">
            <v>90640000</v>
          </cell>
          <cell r="M121">
            <v>18402667</v>
          </cell>
          <cell r="N121">
            <v>72237333</v>
          </cell>
        </row>
        <row r="122">
          <cell r="A122">
            <v>422</v>
          </cell>
          <cell r="B122">
            <v>381</v>
          </cell>
          <cell r="C122">
            <v>43124</v>
          </cell>
          <cell r="D122" t="str">
            <v>VLADIMIR  MARTINEZ MARTINEZ</v>
          </cell>
          <cell r="E122">
            <v>145</v>
          </cell>
          <cell r="F122" t="str">
            <v>CONTRATO DE PRESTACION DE SERVICIOS PROFESIONALES</v>
          </cell>
          <cell r="G122">
            <v>359</v>
          </cell>
          <cell r="H122">
            <v>43124</v>
          </cell>
          <cell r="I122"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22">
            <v>24720000</v>
          </cell>
          <cell r="K122">
            <v>0</v>
          </cell>
          <cell r="L122">
            <v>24720000</v>
          </cell>
          <cell r="M122">
            <v>9064000</v>
          </cell>
          <cell r="N122">
            <v>15656000</v>
          </cell>
        </row>
        <row r="123">
          <cell r="A123">
            <v>410</v>
          </cell>
          <cell r="B123">
            <v>382</v>
          </cell>
          <cell r="C123">
            <v>43124</v>
          </cell>
          <cell r="D123" t="str">
            <v>BLANCA LEIDY PEÑA CALDERON</v>
          </cell>
          <cell r="E123">
            <v>148</v>
          </cell>
          <cell r="F123" t="str">
            <v>CONTRATO DE PRESTACION DE SERVICIOS DE APOYO A LA GESTION</v>
          </cell>
          <cell r="G123">
            <v>323</v>
          </cell>
          <cell r="H123">
            <v>43124</v>
          </cell>
          <cell r="I123" t="str">
            <v>PRESTACIÓN DE SERVICIOS DE APOYO A LA GESTIÓN EN LOS PROCEDIMIENTOS A CARGO DE LA DIRECCIÓN DE REASENTAMIENTOS DE LA CAJA DE LA VIVIENDA POPULAR, PARA EL CUMPLIMIENTO DE SUS METAS.</v>
          </cell>
          <cell r="J123">
            <v>30385000</v>
          </cell>
          <cell r="K123">
            <v>0</v>
          </cell>
          <cell r="L123">
            <v>30385000</v>
          </cell>
          <cell r="M123">
            <v>6785983</v>
          </cell>
          <cell r="N123">
            <v>23599017</v>
          </cell>
        </row>
        <row r="124">
          <cell r="A124">
            <v>446</v>
          </cell>
          <cell r="B124">
            <v>385</v>
          </cell>
          <cell r="C124">
            <v>43124</v>
          </cell>
          <cell r="D124" t="str">
            <v>LORENA  GOMEZ ANGEL</v>
          </cell>
          <cell r="E124">
            <v>145</v>
          </cell>
          <cell r="F124" t="str">
            <v>CONTRATO DE PRESTACION DE SERVICIOS PROFESIONALES</v>
          </cell>
          <cell r="G124">
            <v>328</v>
          </cell>
          <cell r="H124">
            <v>43124</v>
          </cell>
          <cell r="I124" t="str">
            <v>Prestación de servicios profesionales en el componente social de la Dirección de Reasentamientos de la Caja de la Vivienda Popular para la ejecución de planes y programas agenciados por el área misional.</v>
          </cell>
          <cell r="J124">
            <v>17767500</v>
          </cell>
          <cell r="K124">
            <v>0</v>
          </cell>
          <cell r="L124">
            <v>17767500</v>
          </cell>
          <cell r="M124">
            <v>7936150</v>
          </cell>
          <cell r="N124">
            <v>9831350</v>
          </cell>
        </row>
        <row r="125">
          <cell r="A125">
            <v>329</v>
          </cell>
          <cell r="B125">
            <v>389</v>
          </cell>
          <cell r="C125">
            <v>43124</v>
          </cell>
          <cell r="D125" t="str">
            <v>MIGUEL ANDRES ALFONSO ACOSTA</v>
          </cell>
          <cell r="E125">
            <v>145</v>
          </cell>
          <cell r="F125" t="str">
            <v>CONTRATO DE PRESTACION DE SERVICIOS PROFESIONALES</v>
          </cell>
          <cell r="G125">
            <v>312</v>
          </cell>
          <cell r="H125">
            <v>43124</v>
          </cell>
          <cell r="I125" t="str">
            <v>Prestación de servicios profesionales en la Dirección de Reasentamientos de la Caja de la Vivienda Popular, apoyando la ejecución de las diferentes actividades relacionadas con el componente técnico del área misional</v>
          </cell>
          <cell r="J125">
            <v>61800000</v>
          </cell>
          <cell r="K125">
            <v>0</v>
          </cell>
          <cell r="L125">
            <v>61800000</v>
          </cell>
          <cell r="M125">
            <v>13802000</v>
          </cell>
          <cell r="N125">
            <v>47998000</v>
          </cell>
        </row>
        <row r="126">
          <cell r="A126">
            <v>405</v>
          </cell>
          <cell r="B126">
            <v>390</v>
          </cell>
          <cell r="C126">
            <v>43124</v>
          </cell>
          <cell r="D126" t="str">
            <v>NIXA ZAIRANDRHY VILLAMIZAR MESA</v>
          </cell>
          <cell r="E126">
            <v>148</v>
          </cell>
          <cell r="F126" t="str">
            <v>CONTRATO DE PRESTACION DE SERVICIOS DE APOYO A LA GESTION</v>
          </cell>
          <cell r="G126">
            <v>329</v>
          </cell>
          <cell r="H126">
            <v>43124</v>
          </cell>
          <cell r="I126" t="str">
            <v>Prestar sus servicios de apoyo a la gestión en la Dirección de Reasentamientos, brindando acompañamiento al componente social desarrollado en el marco de las acciones misionales a cargo de la entidad.</v>
          </cell>
          <cell r="J126">
            <v>24720000</v>
          </cell>
          <cell r="K126">
            <v>0</v>
          </cell>
          <cell r="L126">
            <v>24720000</v>
          </cell>
          <cell r="M126">
            <v>5438400</v>
          </cell>
          <cell r="N126">
            <v>19281600</v>
          </cell>
        </row>
        <row r="127">
          <cell r="A127">
            <v>394</v>
          </cell>
          <cell r="B127">
            <v>391</v>
          </cell>
          <cell r="C127">
            <v>43124</v>
          </cell>
          <cell r="D127" t="str">
            <v>OLGA LUCIA CRUZ GARZON</v>
          </cell>
          <cell r="E127">
            <v>145</v>
          </cell>
          <cell r="F127" t="str">
            <v>CONTRATO DE PRESTACION DE SERVICIOS PROFESIONALES</v>
          </cell>
          <cell r="G127">
            <v>313</v>
          </cell>
          <cell r="H127">
            <v>43124</v>
          </cell>
          <cell r="I127" t="str">
            <v>Prestación de servicios profesionales desde el componente jurídico, para realizar el seguimiento y control al cumplimiento de requisitos legales y reglamentarios, de las familias beneficiarias del programa de Reasentamientos de la Caja de la Vivienda Popular.</v>
          </cell>
          <cell r="J127">
            <v>32960000</v>
          </cell>
          <cell r="K127">
            <v>0</v>
          </cell>
          <cell r="L127">
            <v>32960000</v>
          </cell>
          <cell r="M127">
            <v>9201333</v>
          </cell>
          <cell r="N127">
            <v>23758667</v>
          </cell>
        </row>
        <row r="128">
          <cell r="A128">
            <v>353</v>
          </cell>
          <cell r="B128">
            <v>396</v>
          </cell>
          <cell r="C128">
            <v>43124</v>
          </cell>
          <cell r="D128" t="str">
            <v>YAMILET  OROZCO DIAZ</v>
          </cell>
          <cell r="E128">
            <v>145</v>
          </cell>
          <cell r="F128" t="str">
            <v>CONTRATO DE PRESTACION DE SERVICIOS PROFESIONALES</v>
          </cell>
          <cell r="G128">
            <v>317</v>
          </cell>
          <cell r="H128">
            <v>43124</v>
          </cell>
          <cell r="I128" t="str">
            <v>Prestación de servicios profesionales de seguimiento y soporte financiero respecto a la programación, control presupuestal y demás acciones en la Dirección de Reasentamientos de la Caja de la Vivienda Popular, de conformidad con los procesos y procedimientos establecidos.</v>
          </cell>
          <cell r="J128">
            <v>56650000</v>
          </cell>
          <cell r="K128">
            <v>0</v>
          </cell>
          <cell r="L128">
            <v>56650000</v>
          </cell>
          <cell r="M128">
            <v>12651833</v>
          </cell>
          <cell r="N128">
            <v>43998167</v>
          </cell>
        </row>
        <row r="129">
          <cell r="A129">
            <v>206</v>
          </cell>
          <cell r="B129">
            <v>397</v>
          </cell>
          <cell r="C129">
            <v>43124</v>
          </cell>
          <cell r="D129" t="str">
            <v>MICHAEL ALEXANDER LADINO PEÑUELA</v>
          </cell>
          <cell r="E129">
            <v>145</v>
          </cell>
          <cell r="F129" t="str">
            <v>CONTRATO DE PRESTACION DE SERVICIOS PROFESIONALES</v>
          </cell>
          <cell r="G129">
            <v>318</v>
          </cell>
          <cell r="H129">
            <v>43124</v>
          </cell>
          <cell r="I129" t="str">
            <v>Prestación de servicios profesionales brindando apoyo al seguimiento administrativo y financiero de los procedimientos de la Dirección de Reasentamientos de la Caja de la Vivienda Popular</v>
          </cell>
          <cell r="J129">
            <v>41200000</v>
          </cell>
          <cell r="K129">
            <v>0</v>
          </cell>
          <cell r="L129">
            <v>41200000</v>
          </cell>
          <cell r="M129">
            <v>9201333</v>
          </cell>
          <cell r="N129">
            <v>31998667</v>
          </cell>
        </row>
        <row r="130">
          <cell r="A130">
            <v>352</v>
          </cell>
          <cell r="B130">
            <v>398</v>
          </cell>
          <cell r="C130">
            <v>43124</v>
          </cell>
          <cell r="D130" t="str">
            <v>LINDA GISSELLE SUAREZ VILLAMIZAR</v>
          </cell>
          <cell r="E130">
            <v>145</v>
          </cell>
          <cell r="F130" t="str">
            <v>CONTRATO DE PRESTACION DE SERVICIOS PROFESIONALES</v>
          </cell>
          <cell r="G130">
            <v>319</v>
          </cell>
          <cell r="H130">
            <v>43124</v>
          </cell>
          <cell r="I130" t="str">
            <v>Prestación de servicios profesionales, para el acompañamiento jurídico, en los procesos y procedimientos establecidos frente a la ejecución del programa misional de la Dirección de reasentamientos de la Caja de la Vivienda Popular</v>
          </cell>
          <cell r="J130">
            <v>31724000</v>
          </cell>
          <cell r="K130">
            <v>0</v>
          </cell>
          <cell r="L130">
            <v>31724000</v>
          </cell>
          <cell r="M130">
            <v>9970400</v>
          </cell>
          <cell r="N130">
            <v>21753600</v>
          </cell>
        </row>
        <row r="131">
          <cell r="A131">
            <v>445</v>
          </cell>
          <cell r="B131">
            <v>400</v>
          </cell>
          <cell r="C131">
            <v>43124</v>
          </cell>
          <cell r="D131" t="str">
            <v>DARLY PATRICIA CAICEDO CAMILO</v>
          </cell>
          <cell r="E131">
            <v>145</v>
          </cell>
          <cell r="F131" t="str">
            <v>CONTRATO DE PRESTACION DE SERVICIOS PROFESIONALES</v>
          </cell>
          <cell r="G131">
            <v>321</v>
          </cell>
          <cell r="H131">
            <v>43124</v>
          </cell>
          <cell r="I131" t="str">
            <v>Prestar sus servicios profesionales en el componente social de la Dirección de Reasentamientos de la Caja de la Vivienda Popular, para la ejecución de planes y programas agenciados por el área misional.</v>
          </cell>
          <cell r="J131">
            <v>17767500</v>
          </cell>
          <cell r="K131">
            <v>0</v>
          </cell>
          <cell r="L131">
            <v>17767500</v>
          </cell>
          <cell r="M131">
            <v>7936150</v>
          </cell>
          <cell r="N131">
            <v>9831350</v>
          </cell>
        </row>
        <row r="132">
          <cell r="A132">
            <v>460</v>
          </cell>
          <cell r="B132">
            <v>401</v>
          </cell>
          <cell r="C132">
            <v>43124</v>
          </cell>
          <cell r="D132" t="str">
            <v>JORGE EDUARDO BARON MENDEZ</v>
          </cell>
          <cell r="E132">
            <v>145</v>
          </cell>
          <cell r="F132" t="str">
            <v>CONTRATO DE PRESTACION DE SERVICIOS PROFESIONALES</v>
          </cell>
          <cell r="G132">
            <v>322</v>
          </cell>
          <cell r="H132">
            <v>43124</v>
          </cell>
          <cell r="I132" t="str">
            <v>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32">
            <v>24720000</v>
          </cell>
          <cell r="K132">
            <v>0</v>
          </cell>
          <cell r="L132">
            <v>24720000</v>
          </cell>
          <cell r="M132">
            <v>9201333</v>
          </cell>
          <cell r="N132">
            <v>15518667</v>
          </cell>
        </row>
        <row r="133">
          <cell r="A133">
            <v>347</v>
          </cell>
          <cell r="B133">
            <v>402</v>
          </cell>
          <cell r="C133">
            <v>43124</v>
          </cell>
          <cell r="D133" t="str">
            <v>NEYVA ABOGADOS ASOCIADOS S A S</v>
          </cell>
          <cell r="E133">
            <v>145</v>
          </cell>
          <cell r="F133" t="str">
            <v>CONTRATO DE PRESTACION DE SERVICIOS PROFESIONALES</v>
          </cell>
          <cell r="G133">
            <v>301</v>
          </cell>
          <cell r="H133">
            <v>43124</v>
          </cell>
          <cell r="I133" t="str">
            <v>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v>
          </cell>
          <cell r="J133">
            <v>50367000</v>
          </cell>
          <cell r="K133">
            <v>0</v>
          </cell>
          <cell r="L133">
            <v>50367000</v>
          </cell>
          <cell r="M133">
            <v>11080740</v>
          </cell>
          <cell r="N133">
            <v>39286260</v>
          </cell>
        </row>
        <row r="134">
          <cell r="A134">
            <v>464</v>
          </cell>
          <cell r="B134">
            <v>403</v>
          </cell>
          <cell r="C134">
            <v>43124</v>
          </cell>
          <cell r="D134" t="str">
            <v>DIANA CAROLINA ESPITIA ZAMBRANO</v>
          </cell>
          <cell r="E134">
            <v>145</v>
          </cell>
          <cell r="F134" t="str">
            <v>CONTRATO DE PRESTACION DE SERVICIOS PROFESIONALES</v>
          </cell>
          <cell r="G134">
            <v>332</v>
          </cell>
          <cell r="H134">
            <v>43124</v>
          </cell>
          <cell r="I134"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34">
            <v>43260000</v>
          </cell>
          <cell r="K134">
            <v>0</v>
          </cell>
          <cell r="L134">
            <v>43260000</v>
          </cell>
          <cell r="M134">
            <v>15862000</v>
          </cell>
          <cell r="N134">
            <v>27398000</v>
          </cell>
        </row>
        <row r="135">
          <cell r="A135">
            <v>461</v>
          </cell>
          <cell r="B135">
            <v>405</v>
          </cell>
          <cell r="C135">
            <v>43124</v>
          </cell>
          <cell r="D135" t="str">
            <v>JUAN CARLOS ALVARADO SANCHEZ</v>
          </cell>
          <cell r="E135">
            <v>145</v>
          </cell>
          <cell r="F135" t="str">
            <v>CONTRATO DE PRESTACION DE SERVICIOS PROFESIONALES</v>
          </cell>
          <cell r="G135">
            <v>333</v>
          </cell>
          <cell r="H135">
            <v>43124</v>
          </cell>
          <cell r="I135"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v>
          </cell>
          <cell r="J135">
            <v>21321000</v>
          </cell>
          <cell r="K135">
            <v>0</v>
          </cell>
          <cell r="L135">
            <v>21321000</v>
          </cell>
          <cell r="M135">
            <v>7817700</v>
          </cell>
          <cell r="N135">
            <v>13503300</v>
          </cell>
        </row>
        <row r="136">
          <cell r="A136">
            <v>419</v>
          </cell>
          <cell r="B136">
            <v>407</v>
          </cell>
          <cell r="C136">
            <v>43124</v>
          </cell>
          <cell r="D136" t="str">
            <v>RUTH MIREYA VARGAS FIGUEREDO</v>
          </cell>
          <cell r="E136">
            <v>148</v>
          </cell>
          <cell r="F136" t="str">
            <v>CONTRATO DE PRESTACION DE SERVICIOS DE APOYO A LA GESTION</v>
          </cell>
          <cell r="G136">
            <v>356</v>
          </cell>
          <cell r="H136">
            <v>43124</v>
          </cell>
          <cell r="I136" t="str">
            <v>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v>
          </cell>
          <cell r="J136">
            <v>10506000</v>
          </cell>
          <cell r="K136">
            <v>0</v>
          </cell>
          <cell r="L136">
            <v>10506000</v>
          </cell>
          <cell r="M136">
            <v>3852200</v>
          </cell>
          <cell r="N136">
            <v>6653800</v>
          </cell>
        </row>
        <row r="137">
          <cell r="A137">
            <v>416</v>
          </cell>
          <cell r="B137">
            <v>408</v>
          </cell>
          <cell r="C137">
            <v>43124</v>
          </cell>
          <cell r="D137" t="str">
            <v>MARTA ESPERANZA CARDENAS ESTRADA</v>
          </cell>
          <cell r="E137">
            <v>145</v>
          </cell>
          <cell r="F137" t="str">
            <v>CONTRATO DE PRESTACION DE SERVICIOS PROFESIONALES</v>
          </cell>
          <cell r="G137">
            <v>357</v>
          </cell>
          <cell r="H137">
            <v>43124</v>
          </cell>
          <cell r="I137" t="str">
            <v>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37">
            <v>31518000</v>
          </cell>
          <cell r="K137">
            <v>0</v>
          </cell>
          <cell r="L137">
            <v>31518000</v>
          </cell>
          <cell r="M137">
            <v>11556600</v>
          </cell>
          <cell r="N137">
            <v>19961400</v>
          </cell>
        </row>
        <row r="138">
          <cell r="A138">
            <v>435</v>
          </cell>
          <cell r="B138">
            <v>409</v>
          </cell>
          <cell r="C138">
            <v>43124</v>
          </cell>
          <cell r="D138" t="str">
            <v>GLORIA ESPERANZA CASTRO RODRIGUEZ</v>
          </cell>
          <cell r="E138">
            <v>148</v>
          </cell>
          <cell r="F138" t="str">
            <v>CONTRATO DE PRESTACION DE SERVICIOS DE APOYO A LA GESTION</v>
          </cell>
          <cell r="G138">
            <v>358</v>
          </cell>
          <cell r="H138">
            <v>43124</v>
          </cell>
          <cell r="I138" t="str">
            <v>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v>
          </cell>
          <cell r="J138">
            <v>9270000</v>
          </cell>
          <cell r="K138">
            <v>0</v>
          </cell>
          <cell r="L138">
            <v>9270000</v>
          </cell>
          <cell r="M138">
            <v>3399000</v>
          </cell>
          <cell r="N138">
            <v>5871000</v>
          </cell>
        </row>
        <row r="139">
          <cell r="A139">
            <v>451</v>
          </cell>
          <cell r="B139">
            <v>411</v>
          </cell>
          <cell r="C139">
            <v>43124</v>
          </cell>
          <cell r="D139" t="str">
            <v>LUKAS FERNANDO URIBE FRANCO</v>
          </cell>
          <cell r="E139">
            <v>145</v>
          </cell>
          <cell r="F139" t="str">
            <v>CONTRATO DE PRESTACION DE SERVICIOS PROFESIONALES</v>
          </cell>
          <cell r="G139">
            <v>314</v>
          </cell>
          <cell r="H139">
            <v>43124</v>
          </cell>
          <cell r="I139" t="str">
            <v>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v>
          </cell>
          <cell r="J139">
            <v>58632750</v>
          </cell>
          <cell r="K139">
            <v>0</v>
          </cell>
          <cell r="L139">
            <v>58632750</v>
          </cell>
          <cell r="M139">
            <v>28798000</v>
          </cell>
          <cell r="N139">
            <v>29834750</v>
          </cell>
        </row>
        <row r="140">
          <cell r="A140">
            <v>232</v>
          </cell>
          <cell r="B140">
            <v>412</v>
          </cell>
          <cell r="C140">
            <v>43124</v>
          </cell>
          <cell r="D140" t="str">
            <v>YURY ANDREA RICO MAHECHA</v>
          </cell>
          <cell r="E140">
            <v>148</v>
          </cell>
          <cell r="F140" t="str">
            <v>CONTRATO DE PRESTACION DE SERVICIOS DE APOYO A LA GESTION</v>
          </cell>
          <cell r="G140">
            <v>334</v>
          </cell>
          <cell r="H140">
            <v>43124</v>
          </cell>
          <cell r="I140" t="str">
            <v>Prestación de servicios de apoyo a la gestión en lo relacionado con el manejo de archivo y gestión documental generado desde la Dirección de Reasentamientos de la Caja de la Vivienda Popular.</v>
          </cell>
          <cell r="J140">
            <v>27192000</v>
          </cell>
          <cell r="K140">
            <v>0</v>
          </cell>
          <cell r="L140">
            <v>27192000</v>
          </cell>
          <cell r="M140">
            <v>5438400</v>
          </cell>
          <cell r="N140">
            <v>21753600</v>
          </cell>
        </row>
        <row r="141">
          <cell r="A141">
            <v>375</v>
          </cell>
          <cell r="B141">
            <v>414</v>
          </cell>
          <cell r="C141">
            <v>43124</v>
          </cell>
          <cell r="D141" t="str">
            <v>DIANA MILENA OCHOA PARRA</v>
          </cell>
          <cell r="E141">
            <v>145</v>
          </cell>
          <cell r="F141" t="str">
            <v>CONTRATO DE PRESTACION DE SERVICIOS PROFESIONALES</v>
          </cell>
          <cell r="G141">
            <v>335</v>
          </cell>
          <cell r="H141">
            <v>43124</v>
          </cell>
          <cell r="I141"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41">
            <v>31518000</v>
          </cell>
          <cell r="K141">
            <v>0</v>
          </cell>
          <cell r="L141">
            <v>31518000</v>
          </cell>
          <cell r="M141">
            <v>10506000</v>
          </cell>
          <cell r="N141">
            <v>21012000</v>
          </cell>
        </row>
        <row r="142">
          <cell r="A142">
            <v>342</v>
          </cell>
          <cell r="B142">
            <v>415</v>
          </cell>
          <cell r="C142">
            <v>43124</v>
          </cell>
          <cell r="D142" t="str">
            <v>JOSE LUIS REYES DELGADO</v>
          </cell>
          <cell r="E142">
            <v>145</v>
          </cell>
          <cell r="F142" t="str">
            <v>CONTRATO DE PRESTACION DE SERVICIOS PROFESIONALES</v>
          </cell>
          <cell r="G142">
            <v>336</v>
          </cell>
          <cell r="H142">
            <v>43124</v>
          </cell>
          <cell r="I142" t="str">
            <v>Prestación de servicios profesionales para apoyar los asuntos presupuestales y herramientas de gestión a cargo de la Dirección de Reasentamientos de la Caja de la Vivienda Popular</v>
          </cell>
          <cell r="J142">
            <v>90640000</v>
          </cell>
          <cell r="K142">
            <v>0</v>
          </cell>
          <cell r="L142">
            <v>90640000</v>
          </cell>
          <cell r="M142">
            <v>18128000</v>
          </cell>
          <cell r="N142">
            <v>72512000</v>
          </cell>
        </row>
        <row r="143">
          <cell r="A143">
            <v>399</v>
          </cell>
          <cell r="B143">
            <v>417</v>
          </cell>
          <cell r="C143">
            <v>43124</v>
          </cell>
          <cell r="D143" t="str">
            <v>DIANA CAROLINA SANCHEZ ARDILA</v>
          </cell>
          <cell r="E143">
            <v>145</v>
          </cell>
          <cell r="F143" t="str">
            <v>CONTRATO DE PRESTACION DE SERVICIOS PROFESIONALES</v>
          </cell>
          <cell r="G143">
            <v>338</v>
          </cell>
          <cell r="H143">
            <v>43124</v>
          </cell>
          <cell r="I143" t="str">
            <v>Prestación de servicios profesionales en el componente social de la Dirección de Reasentamientos de la Caja de la Vivienda Popular, para la ejecución de planes y programas agenciados por el área misional.</v>
          </cell>
          <cell r="J143">
            <v>41200000</v>
          </cell>
          <cell r="K143">
            <v>0</v>
          </cell>
          <cell r="L143">
            <v>41200000</v>
          </cell>
          <cell r="M143">
            <v>9064000</v>
          </cell>
          <cell r="N143">
            <v>32136000</v>
          </cell>
        </row>
        <row r="144">
          <cell r="A144">
            <v>351</v>
          </cell>
          <cell r="B144">
            <v>418</v>
          </cell>
          <cell r="C144">
            <v>43124</v>
          </cell>
          <cell r="D144" t="str">
            <v>LINA MARIA SILVA CABRERA</v>
          </cell>
          <cell r="E144">
            <v>145</v>
          </cell>
          <cell r="F144" t="str">
            <v>CONTRATO DE PRESTACION DE SERVICIOS PROFESIONALES</v>
          </cell>
          <cell r="G144">
            <v>369</v>
          </cell>
          <cell r="H144">
            <v>43124</v>
          </cell>
          <cell r="I144" t="str">
            <v>Prestación de servicios profesionales en las actividades relacionadas con Planeación institucional y Sistema Integrado de Gestión de la Dirección de Reasentamientos, a través de las herramientas de seguimiento y gestión que posee la Caja de la Vivienda Popular.</v>
          </cell>
          <cell r="J144">
            <v>47277000</v>
          </cell>
          <cell r="K144">
            <v>0</v>
          </cell>
          <cell r="L144">
            <v>47277000</v>
          </cell>
          <cell r="M144">
            <v>6303600</v>
          </cell>
          <cell r="N144">
            <v>40973400</v>
          </cell>
        </row>
        <row r="145">
          <cell r="A145">
            <v>453</v>
          </cell>
          <cell r="B145">
            <v>419</v>
          </cell>
          <cell r="C145">
            <v>43124</v>
          </cell>
          <cell r="D145" t="str">
            <v>ALEJANDRO  URIBE JIMENEZ</v>
          </cell>
          <cell r="E145">
            <v>145</v>
          </cell>
          <cell r="F145" t="str">
            <v>CONTRATO DE PRESTACION DE SERVICIOS PROFESIONALES</v>
          </cell>
          <cell r="G145">
            <v>368</v>
          </cell>
          <cell r="H145">
            <v>43124</v>
          </cell>
          <cell r="I145" t="str">
            <v>PRESTACIÓN DE SERVICIOS PROFESIONALES PARA EL ACOMPAÑAMIENTO Y APOYO FINANCIERO RESPECTO A LA PROGRAMACIÓN, CONTROL PRESUPUESTAL Y ACCIONES A EJECUTAR EN LA IMPLEMENTACIÓN UNA METODOLOGÍA TENDIENTE AL DESARROLLO INTEGRAL DE COMUNIDADES SOSTENIBLES DE CONFORMIDAD CON LA MISIONALIDAD DE LA DIRECCIÓN DE REASENTAMIENTOS DE LA CAJA DE LA VIVIENDA POPULAR.</v>
          </cell>
          <cell r="J145">
            <v>50367000</v>
          </cell>
          <cell r="K145">
            <v>0</v>
          </cell>
          <cell r="L145">
            <v>50367000</v>
          </cell>
          <cell r="M145">
            <v>11080740</v>
          </cell>
          <cell r="N145">
            <v>39286260</v>
          </cell>
        </row>
        <row r="146">
          <cell r="A146">
            <v>362</v>
          </cell>
          <cell r="B146">
            <v>420</v>
          </cell>
          <cell r="C146">
            <v>43124</v>
          </cell>
          <cell r="D146" t="str">
            <v>MARTHA HELENA CORREAL ISAZA</v>
          </cell>
          <cell r="E146">
            <v>145</v>
          </cell>
          <cell r="F146" t="str">
            <v>CONTRATO DE PRESTACION DE SERVICIOS PROFESIONALES</v>
          </cell>
          <cell r="G146">
            <v>365</v>
          </cell>
          <cell r="H146">
            <v>43124</v>
          </cell>
          <cell r="I146" t="str">
            <v>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v>
          </cell>
          <cell r="J146">
            <v>118450000</v>
          </cell>
          <cell r="K146">
            <v>0</v>
          </cell>
          <cell r="L146">
            <v>118450000</v>
          </cell>
          <cell r="M146">
            <v>22660000</v>
          </cell>
          <cell r="N146">
            <v>95790000</v>
          </cell>
        </row>
        <row r="147">
          <cell r="A147">
            <v>217</v>
          </cell>
          <cell r="B147">
            <v>421</v>
          </cell>
          <cell r="C147">
            <v>43124</v>
          </cell>
          <cell r="D147" t="str">
            <v>IVAN DARIO CARRILLO DURAN</v>
          </cell>
          <cell r="E147">
            <v>145</v>
          </cell>
          <cell r="F147" t="str">
            <v>CONTRATO DE PRESTACION DE SERVICIOS PROFESIONALES</v>
          </cell>
          <cell r="G147">
            <v>370</v>
          </cell>
          <cell r="H147">
            <v>43124</v>
          </cell>
          <cell r="I147" t="str">
            <v>Prestación de servicios profesionales en la implementación de módulos alfanuméricos y geográficos para el Sistema de Información Geográfica  de la Dirección de Reasentamientos de la Caja de la Vivienda Popular.</v>
          </cell>
          <cell r="J147">
            <v>28428000</v>
          </cell>
          <cell r="K147">
            <v>0</v>
          </cell>
          <cell r="L147">
            <v>28428000</v>
          </cell>
          <cell r="M147">
            <v>7817700</v>
          </cell>
          <cell r="N147">
            <v>20610300</v>
          </cell>
        </row>
        <row r="148">
          <cell r="A148">
            <v>373</v>
          </cell>
          <cell r="B148">
            <v>422</v>
          </cell>
          <cell r="C148">
            <v>43124</v>
          </cell>
          <cell r="D148" t="str">
            <v>INES  VALENCIA ORTIZ</v>
          </cell>
          <cell r="E148">
            <v>31</v>
          </cell>
          <cell r="F148" t="str">
            <v>RESOLUCION</v>
          </cell>
          <cell r="G148">
            <v>100</v>
          </cell>
          <cell r="H148">
            <v>43124</v>
          </cell>
          <cell r="I148" t="str">
            <v>Asignacion del instrumento financiero a las familias ocupantes del predio que hayan superado la fase de verificacion dentro  del marco del Decreto 457 de 2017. LOCALIDAD: KENNEDY; BARRIO: VEREDITAS; ID: 2017-8-383714</v>
          </cell>
          <cell r="J148">
            <v>54686940</v>
          </cell>
          <cell r="K148">
            <v>0</v>
          </cell>
          <cell r="L148">
            <v>54686940</v>
          </cell>
          <cell r="M148">
            <v>54686940</v>
          </cell>
          <cell r="N148">
            <v>0</v>
          </cell>
        </row>
        <row r="149">
          <cell r="A149">
            <v>465</v>
          </cell>
          <cell r="B149">
            <v>423</v>
          </cell>
          <cell r="C149">
            <v>43124</v>
          </cell>
          <cell r="D149" t="str">
            <v>ELCIDA  CONTRERAS AYALA</v>
          </cell>
          <cell r="E149">
            <v>145</v>
          </cell>
          <cell r="F149" t="str">
            <v>CONTRATO DE PRESTACION DE SERVICIOS PROFESIONALES</v>
          </cell>
          <cell r="G149">
            <v>366</v>
          </cell>
          <cell r="H149">
            <v>43124</v>
          </cell>
          <cell r="I149"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49">
            <v>43260000</v>
          </cell>
          <cell r="K149">
            <v>0</v>
          </cell>
          <cell r="L149">
            <v>43260000</v>
          </cell>
          <cell r="M149">
            <v>15862000</v>
          </cell>
          <cell r="N149">
            <v>27398000</v>
          </cell>
        </row>
        <row r="150">
          <cell r="A150">
            <v>378</v>
          </cell>
          <cell r="B150">
            <v>424</v>
          </cell>
          <cell r="C150">
            <v>43124</v>
          </cell>
          <cell r="D150" t="str">
            <v>RUSMEY  VERGARA CHARA</v>
          </cell>
          <cell r="E150">
            <v>31</v>
          </cell>
          <cell r="F150" t="str">
            <v>RESOLUCION</v>
          </cell>
          <cell r="G150">
            <v>101</v>
          </cell>
          <cell r="H150">
            <v>43124</v>
          </cell>
          <cell r="I150" t="str">
            <v>Asignacion del instrumento financiero a las familias ocupantes del predio que hayan superado la fase de verificacion dentro  del marco del Decreto 457 de 2017. LOCALIDAD: KENNEDY; BARRIO: VEREDITAS; ID: 2017-8-383707.</v>
          </cell>
          <cell r="J150">
            <v>54686940</v>
          </cell>
          <cell r="K150">
            <v>0</v>
          </cell>
          <cell r="L150">
            <v>54686940</v>
          </cell>
          <cell r="M150">
            <v>54686940</v>
          </cell>
          <cell r="N150">
            <v>0</v>
          </cell>
        </row>
        <row r="151">
          <cell r="A151">
            <v>467</v>
          </cell>
          <cell r="B151">
            <v>425</v>
          </cell>
          <cell r="C151">
            <v>43124</v>
          </cell>
          <cell r="D151" t="str">
            <v>LUIS CAMILO MARTINEZ TORO</v>
          </cell>
          <cell r="E151">
            <v>145</v>
          </cell>
          <cell r="F151" t="str">
            <v>CONTRATO DE PRESTACION DE SERVICIOS PROFESIONALES</v>
          </cell>
          <cell r="G151">
            <v>367</v>
          </cell>
          <cell r="H151">
            <v>43124</v>
          </cell>
          <cell r="I151"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51">
            <v>43260000</v>
          </cell>
          <cell r="K151">
            <v>0</v>
          </cell>
          <cell r="L151">
            <v>43260000</v>
          </cell>
          <cell r="M151">
            <v>15862000</v>
          </cell>
          <cell r="N151">
            <v>27398000</v>
          </cell>
        </row>
        <row r="152">
          <cell r="A152">
            <v>413</v>
          </cell>
          <cell r="B152">
            <v>426</v>
          </cell>
          <cell r="C152">
            <v>43124</v>
          </cell>
          <cell r="D152" t="str">
            <v>LAURA MAGOLA RAMIREZ GARCIA</v>
          </cell>
          <cell r="E152">
            <v>145</v>
          </cell>
          <cell r="F152" t="str">
            <v>CONTRATO DE PRESTACION DE SERVICIOS PROFESIONALES</v>
          </cell>
          <cell r="G152">
            <v>361</v>
          </cell>
          <cell r="H152">
            <v>43124</v>
          </cell>
          <cell r="I152" t="str">
            <v>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v>
          </cell>
          <cell r="J152">
            <v>21321000</v>
          </cell>
          <cell r="K152">
            <v>0</v>
          </cell>
          <cell r="L152">
            <v>21321000</v>
          </cell>
          <cell r="M152">
            <v>7817700</v>
          </cell>
          <cell r="N152">
            <v>13503300</v>
          </cell>
        </row>
        <row r="153">
          <cell r="A153">
            <v>326</v>
          </cell>
          <cell r="B153">
            <v>427</v>
          </cell>
          <cell r="C153">
            <v>43124</v>
          </cell>
          <cell r="D153" t="str">
            <v>MARTHA TERESA ORTIZ BARAHONA</v>
          </cell>
          <cell r="E153">
            <v>148</v>
          </cell>
          <cell r="F153" t="str">
            <v>CONTRATO DE PRESTACION DE SERVICIOS DE APOYO A LA GESTION</v>
          </cell>
          <cell r="G153">
            <v>362</v>
          </cell>
          <cell r="H153">
            <v>43124</v>
          </cell>
          <cell r="I153" t="str">
            <v>Prestación de servicios de apoyo a la gestión, en los componentes operativo y asistencial para la ejecución de los procesos y procedimientos internos de la Dirección de Reasentamientos frente al cumplimiento de sus metas.</v>
          </cell>
          <cell r="J153">
            <v>19961400</v>
          </cell>
          <cell r="K153">
            <v>0</v>
          </cell>
          <cell r="L153">
            <v>19961400</v>
          </cell>
          <cell r="M153">
            <v>7319180</v>
          </cell>
          <cell r="N153">
            <v>12642220</v>
          </cell>
        </row>
        <row r="154">
          <cell r="A154">
            <v>423</v>
          </cell>
          <cell r="B154">
            <v>428</v>
          </cell>
          <cell r="C154">
            <v>43124</v>
          </cell>
          <cell r="D154" t="str">
            <v>YALEIDY ANDREA RICO RADA</v>
          </cell>
          <cell r="E154">
            <v>145</v>
          </cell>
          <cell r="F154" t="str">
            <v>CONTRATO DE PRESTACION DE SERVICIOS PROFESIONALES</v>
          </cell>
          <cell r="G154">
            <v>363</v>
          </cell>
          <cell r="H154">
            <v>43124</v>
          </cell>
          <cell r="I154"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54">
            <v>33990000</v>
          </cell>
          <cell r="K154">
            <v>0</v>
          </cell>
          <cell r="L154">
            <v>33990000</v>
          </cell>
          <cell r="M154">
            <v>6042667</v>
          </cell>
          <cell r="N154">
            <v>27947333</v>
          </cell>
        </row>
        <row r="155">
          <cell r="A155">
            <v>452</v>
          </cell>
          <cell r="B155">
            <v>430</v>
          </cell>
          <cell r="C155">
            <v>43124</v>
          </cell>
          <cell r="D155" t="str">
            <v>LINA MARCELA RINCON ANDRADE</v>
          </cell>
          <cell r="E155">
            <v>145</v>
          </cell>
          <cell r="F155" t="str">
            <v>CONTRATO DE PRESTACION DE SERVICIOS PROFESIONALES</v>
          </cell>
          <cell r="G155">
            <v>371</v>
          </cell>
          <cell r="H155">
            <v>43124</v>
          </cell>
          <cell r="I155" t="str">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v>
          </cell>
          <cell r="J155">
            <v>52530000</v>
          </cell>
          <cell r="K155">
            <v>0</v>
          </cell>
          <cell r="L155">
            <v>52530000</v>
          </cell>
          <cell r="M155">
            <v>11556600</v>
          </cell>
          <cell r="N155">
            <v>40973400</v>
          </cell>
        </row>
        <row r="156">
          <cell r="A156">
            <v>333</v>
          </cell>
          <cell r="B156">
            <v>436</v>
          </cell>
          <cell r="C156">
            <v>43125</v>
          </cell>
          <cell r="D156" t="str">
            <v>GERLEY  AMAYA CULMA</v>
          </cell>
          <cell r="E156">
            <v>145</v>
          </cell>
          <cell r="F156" t="str">
            <v>CONTRATO DE PRESTACION DE SERVICIOS PROFESIONALES</v>
          </cell>
          <cell r="G156">
            <v>376</v>
          </cell>
          <cell r="H156">
            <v>43125</v>
          </cell>
          <cell r="I156" t="str">
            <v>Prestación de servicios profesionales de apoyo financiero respecto a la programación, control presupuestal y acciones de soporte en la Dirección de Reasentamientos de la Caja de la Vivienda Popular</v>
          </cell>
          <cell r="J156">
            <v>27192000</v>
          </cell>
          <cell r="K156">
            <v>0</v>
          </cell>
          <cell r="L156">
            <v>27192000</v>
          </cell>
          <cell r="M156">
            <v>9970400</v>
          </cell>
          <cell r="N156">
            <v>17221600</v>
          </cell>
        </row>
        <row r="157">
          <cell r="A157">
            <v>437</v>
          </cell>
          <cell r="B157">
            <v>449</v>
          </cell>
          <cell r="C157">
            <v>43125</v>
          </cell>
          <cell r="D157" t="str">
            <v>HARLEY LIZARDO GONZALEZ RODRIGUEZ</v>
          </cell>
          <cell r="E157">
            <v>148</v>
          </cell>
          <cell r="F157" t="str">
            <v>CONTRATO DE PRESTACION DE SERVICIOS DE APOYO A LA GESTION</v>
          </cell>
          <cell r="G157">
            <v>385</v>
          </cell>
          <cell r="H157">
            <v>43125</v>
          </cell>
          <cell r="I157" t="str">
            <v>PRESTACIÓN DE SERVICIOS DE APOYO A LA GESTIÓN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57">
            <v>19961400</v>
          </cell>
          <cell r="K157">
            <v>0</v>
          </cell>
          <cell r="L157">
            <v>19961400</v>
          </cell>
          <cell r="M157">
            <v>7208283</v>
          </cell>
          <cell r="N157">
            <v>12753117</v>
          </cell>
        </row>
        <row r="158">
          <cell r="A158">
            <v>363</v>
          </cell>
          <cell r="B158">
            <v>450</v>
          </cell>
          <cell r="C158">
            <v>43125</v>
          </cell>
          <cell r="D158" t="str">
            <v>LUPIEN ROSENBERG ET ASSOCIES SAS</v>
          </cell>
          <cell r="E158">
            <v>145</v>
          </cell>
          <cell r="F158" t="str">
            <v>CONTRATO DE PRESTACION DE SERVICIOS PROFESIONALES</v>
          </cell>
          <cell r="G158">
            <v>386</v>
          </cell>
          <cell r="H158">
            <v>43125</v>
          </cell>
          <cell r="I158" t="str">
            <v>Prestación de servicios profesionales para brindar apoyo en la implementación de la metodología de Desarrollo Integral de Comunidades Sostenibles de conformidad con la misionalidad de la Dirección de Reasentamientos de la Caja de la Vivienda Popular.</v>
          </cell>
          <cell r="J158">
            <v>82400000</v>
          </cell>
          <cell r="K158">
            <v>0</v>
          </cell>
          <cell r="L158">
            <v>82400000</v>
          </cell>
          <cell r="M158">
            <v>18128000</v>
          </cell>
          <cell r="N158">
            <v>64272000</v>
          </cell>
        </row>
        <row r="159">
          <cell r="A159">
            <v>311</v>
          </cell>
          <cell r="B159">
            <v>454</v>
          </cell>
          <cell r="C159">
            <v>43125</v>
          </cell>
          <cell r="D159" t="str">
            <v>MARIA CRISTINA ALVAREZ ESPINOSA</v>
          </cell>
          <cell r="E159">
            <v>145</v>
          </cell>
          <cell r="F159" t="str">
            <v>CONTRATO DE PRESTACION DE SERVICIOS PROFESIONALES</v>
          </cell>
          <cell r="G159">
            <v>384</v>
          </cell>
          <cell r="H159">
            <v>43125</v>
          </cell>
          <cell r="I159" t="str">
            <v>Prestación de servicios profesionales, para el acompañamiento jurídico, en los procesos y procedimientos establecidos frente a la ejecución del programa misional de la Dirección de reasentamientos de la Caja de la Vivienda Popular.</v>
          </cell>
          <cell r="J159">
            <v>31518000</v>
          </cell>
          <cell r="K159">
            <v>0</v>
          </cell>
          <cell r="L159">
            <v>31518000</v>
          </cell>
          <cell r="M159">
            <v>11381500</v>
          </cell>
          <cell r="N159">
            <v>20136500</v>
          </cell>
        </row>
        <row r="160">
          <cell r="A160">
            <v>371</v>
          </cell>
          <cell r="B160">
            <v>455</v>
          </cell>
          <cell r="C160">
            <v>43126</v>
          </cell>
          <cell r="D160" t="str">
            <v>CLORIS DEYANIRA MONICA ORTEGA CARDOZO</v>
          </cell>
          <cell r="E160">
            <v>148</v>
          </cell>
          <cell r="F160" t="str">
            <v>CONTRATO DE PRESTACION DE SERVICIOS DE APOYO A LA GESTION</v>
          </cell>
          <cell r="G160">
            <v>353</v>
          </cell>
          <cell r="H160">
            <v>43126</v>
          </cell>
          <cell r="I160" t="str">
            <v>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v>
          </cell>
          <cell r="J160">
            <v>10506000</v>
          </cell>
          <cell r="K160">
            <v>0</v>
          </cell>
          <cell r="L160">
            <v>10506000</v>
          </cell>
          <cell r="M160">
            <v>3793833</v>
          </cell>
          <cell r="N160">
            <v>6712167</v>
          </cell>
        </row>
        <row r="161">
          <cell r="A161">
            <v>239</v>
          </cell>
          <cell r="B161">
            <v>461</v>
          </cell>
          <cell r="C161">
            <v>43126</v>
          </cell>
          <cell r="D161" t="str">
            <v>SANDRA JOHANA PAI GOMEZ</v>
          </cell>
          <cell r="E161">
            <v>145</v>
          </cell>
          <cell r="F161" t="str">
            <v>CONTRATO DE PRESTACION DE SERVICIOS PROFESIONALES</v>
          </cell>
          <cell r="G161">
            <v>388</v>
          </cell>
          <cell r="H161">
            <v>43126</v>
          </cell>
          <cell r="I161" t="str">
            <v>Prestación de servicios profesionales, como apoyo jurídico en las actuaciones propias que requiera la Dirección de Reasentamientos de la Caja de la Vivienda Popular en la ejecución del programa de Reasentamientos</v>
          </cell>
          <cell r="J161">
            <v>82400000</v>
          </cell>
          <cell r="K161">
            <v>0</v>
          </cell>
          <cell r="L161">
            <v>82400000</v>
          </cell>
          <cell r="M161">
            <v>17853333</v>
          </cell>
          <cell r="N161">
            <v>64546667</v>
          </cell>
        </row>
        <row r="162">
          <cell r="A162">
            <v>359</v>
          </cell>
          <cell r="B162">
            <v>466</v>
          </cell>
          <cell r="C162">
            <v>43126</v>
          </cell>
          <cell r="D162" t="str">
            <v>MARIA FERNANDA ANAYA SEDAN</v>
          </cell>
          <cell r="E162">
            <v>148</v>
          </cell>
          <cell r="F162" t="str">
            <v>CONTRATO DE PRESTACION DE SERVICIOS DE APOYO A LA GESTION</v>
          </cell>
          <cell r="G162">
            <v>393</v>
          </cell>
          <cell r="H162">
            <v>43126</v>
          </cell>
          <cell r="I162" t="str">
            <v>Prestación de serviciosde apoyo a la gestion, para el acompañamiento jurídico, en los procesos y procedimientos establecidos frente a la ejecución del programa misional de la Dirección de Reasentamientos de la Caja de la Vivienda Popular.</v>
          </cell>
          <cell r="J162">
            <v>23288300</v>
          </cell>
          <cell r="K162">
            <v>0</v>
          </cell>
          <cell r="L162">
            <v>23288300</v>
          </cell>
          <cell r="M162">
            <v>7208283</v>
          </cell>
          <cell r="N162">
            <v>16080017</v>
          </cell>
        </row>
        <row r="163">
          <cell r="A163">
            <v>554</v>
          </cell>
          <cell r="B163">
            <v>473</v>
          </cell>
          <cell r="C163">
            <v>43126</v>
          </cell>
          <cell r="D163" t="str">
            <v>WADY JORGE CHICA ORDOÑEZ</v>
          </cell>
          <cell r="E163">
            <v>148</v>
          </cell>
          <cell r="F163" t="str">
            <v>CONTRATO DE PRESTACION DE SERVICIOS DE APOYO A LA GESTION</v>
          </cell>
          <cell r="G163">
            <v>399</v>
          </cell>
          <cell r="H163">
            <v>43126</v>
          </cell>
          <cell r="I163" t="str">
            <v>PRESTACIÓN DE SERVICIOS DE APOYO A LA GESTIÓN EN LO RELACIONADO CON EL MANEJO DE ARCHIVO Y GESTIÓN DOCUMENTAL GENERADO DESDE LA DIRECCIÓN DE REASENTAMIENTOS DE LA CAJA DE LA VIVIENDA POPULAR.</v>
          </cell>
          <cell r="J163">
            <v>19961400</v>
          </cell>
          <cell r="K163">
            <v>0</v>
          </cell>
          <cell r="L163">
            <v>19961400</v>
          </cell>
          <cell r="M163">
            <v>7208283</v>
          </cell>
          <cell r="N163">
            <v>12753117</v>
          </cell>
        </row>
        <row r="164">
          <cell r="A164">
            <v>409</v>
          </cell>
          <cell r="B164">
            <v>474</v>
          </cell>
          <cell r="C164">
            <v>43126</v>
          </cell>
          <cell r="D164" t="str">
            <v>MANUEL JULIAN FIERRO GARZON</v>
          </cell>
          <cell r="E164">
            <v>145</v>
          </cell>
          <cell r="F164" t="str">
            <v>CONTRATO DE PRESTACION DE SERVICIOS PROFESIONALES</v>
          </cell>
          <cell r="G164">
            <v>400</v>
          </cell>
          <cell r="H164">
            <v>43126</v>
          </cell>
          <cell r="I164" t="str">
            <v>Prestar sus servicios profesionales en la Dirección de Reasentamientos apoyando la ejecución de las diferentes actividades de la Dirección, en especial temas relacionados con relocalización transitoria.</v>
          </cell>
          <cell r="J164">
            <v>33990000</v>
          </cell>
          <cell r="K164">
            <v>0</v>
          </cell>
          <cell r="L164">
            <v>33990000</v>
          </cell>
          <cell r="M164">
            <v>7364500</v>
          </cell>
          <cell r="N164">
            <v>26625500</v>
          </cell>
        </row>
        <row r="165">
          <cell r="A165">
            <v>564</v>
          </cell>
          <cell r="B165">
            <v>484</v>
          </cell>
          <cell r="C165">
            <v>43126</v>
          </cell>
          <cell r="D165" t="str">
            <v>JENNY CATALINA VILLARREAL OREJUELA</v>
          </cell>
          <cell r="E165">
            <v>145</v>
          </cell>
          <cell r="F165" t="str">
            <v>CONTRATO DE PRESTACION DE SERVICIOS PROFESIONALES</v>
          </cell>
          <cell r="G165">
            <v>406</v>
          </cell>
          <cell r="H165">
            <v>43126</v>
          </cell>
          <cell r="I165" t="str">
            <v>Prestación de servicios profesionales para apoyar a la Dirección de Reasentamientos en los procesos y procedimientos que se requieran para el cumplimiento de sus metas.</v>
          </cell>
          <cell r="J165">
            <v>20394000</v>
          </cell>
          <cell r="K165">
            <v>0</v>
          </cell>
          <cell r="L165">
            <v>20394000</v>
          </cell>
          <cell r="M165">
            <v>7364500</v>
          </cell>
          <cell r="N165">
            <v>13029500</v>
          </cell>
        </row>
        <row r="166">
          <cell r="A166">
            <v>543</v>
          </cell>
          <cell r="B166">
            <v>485</v>
          </cell>
          <cell r="C166">
            <v>43126</v>
          </cell>
          <cell r="D166" t="str">
            <v>JOSE ANDRES CHAVES MEJIA</v>
          </cell>
          <cell r="E166">
            <v>148</v>
          </cell>
          <cell r="F166" t="str">
            <v>CONTRATO DE PRESTACION DE SERVICIOS DE APOYO A LA GESTION</v>
          </cell>
          <cell r="G166">
            <v>407</v>
          </cell>
          <cell r="H166">
            <v>43126</v>
          </cell>
          <cell r="I166" t="str">
            <v>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66">
            <v>19961400</v>
          </cell>
          <cell r="K166">
            <v>0</v>
          </cell>
          <cell r="L166">
            <v>19961400</v>
          </cell>
          <cell r="M166">
            <v>7208283</v>
          </cell>
          <cell r="N166">
            <v>12753117</v>
          </cell>
        </row>
        <row r="167">
          <cell r="A167">
            <v>339</v>
          </cell>
          <cell r="B167">
            <v>500</v>
          </cell>
          <cell r="C167">
            <v>43126</v>
          </cell>
          <cell r="D167" t="str">
            <v>CLAUDIA VIVIANA VANEGAS BELTRAN</v>
          </cell>
          <cell r="E167">
            <v>145</v>
          </cell>
          <cell r="F167" t="str">
            <v>CONTRATO DE PRESTACION DE SERVICIOS PROFESIONALES</v>
          </cell>
          <cell r="G167">
            <v>410</v>
          </cell>
          <cell r="H167">
            <v>43126</v>
          </cell>
          <cell r="I167" t="str">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v>
          </cell>
          <cell r="J167">
            <v>72100000</v>
          </cell>
          <cell r="K167">
            <v>0</v>
          </cell>
          <cell r="L167">
            <v>72100000</v>
          </cell>
          <cell r="M167">
            <v>14900667</v>
          </cell>
          <cell r="N167">
            <v>57199333</v>
          </cell>
        </row>
        <row r="168">
          <cell r="A168">
            <v>418</v>
          </cell>
          <cell r="B168">
            <v>501</v>
          </cell>
          <cell r="C168">
            <v>43126</v>
          </cell>
          <cell r="D168" t="str">
            <v>MARTHA CAROLINA HERNANDEZ ACEVEDO</v>
          </cell>
          <cell r="E168">
            <v>145</v>
          </cell>
          <cell r="F168" t="str">
            <v>CONTRATO DE PRESTACION DE SERVICIOS PROFESIONALES</v>
          </cell>
          <cell r="G168">
            <v>411</v>
          </cell>
          <cell r="H168">
            <v>43126</v>
          </cell>
          <cell r="I168"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68">
            <v>31518000</v>
          </cell>
          <cell r="K168">
            <v>0</v>
          </cell>
          <cell r="L168">
            <v>31518000</v>
          </cell>
          <cell r="M168">
            <v>10856200</v>
          </cell>
          <cell r="N168">
            <v>20661800</v>
          </cell>
        </row>
        <row r="169">
          <cell r="A169">
            <v>449</v>
          </cell>
          <cell r="B169">
            <v>503</v>
          </cell>
          <cell r="C169">
            <v>43126</v>
          </cell>
          <cell r="D169" t="str">
            <v>YESENIA  MIRANDA PACHECO</v>
          </cell>
          <cell r="E169">
            <v>148</v>
          </cell>
          <cell r="F169" t="str">
            <v>CONTRATO DE PRESTACION DE SERVICIOS DE APOYO A LA GESTION</v>
          </cell>
          <cell r="G169">
            <v>412</v>
          </cell>
          <cell r="H169">
            <v>43126</v>
          </cell>
          <cell r="I169" t="str">
            <v>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v>
          </cell>
          <cell r="J169">
            <v>10506000</v>
          </cell>
          <cell r="K169">
            <v>0</v>
          </cell>
          <cell r="L169">
            <v>10506000</v>
          </cell>
          <cell r="M169">
            <v>3618733</v>
          </cell>
          <cell r="N169">
            <v>6887267</v>
          </cell>
        </row>
        <row r="170">
          <cell r="A170">
            <v>462</v>
          </cell>
          <cell r="B170">
            <v>505</v>
          </cell>
          <cell r="C170">
            <v>43126</v>
          </cell>
          <cell r="D170" t="str">
            <v>LEYDI JOHANA GONZALEZ URREGO</v>
          </cell>
          <cell r="E170">
            <v>145</v>
          </cell>
          <cell r="F170" t="str">
            <v>CONTRATO DE PRESTACION DE SERVICIOS PROFESIONALES</v>
          </cell>
          <cell r="G170">
            <v>415</v>
          </cell>
          <cell r="H170">
            <v>43126</v>
          </cell>
          <cell r="I170" t="str">
            <v>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v>
          </cell>
          <cell r="J170">
            <v>21321000</v>
          </cell>
          <cell r="K170">
            <v>0</v>
          </cell>
          <cell r="L170">
            <v>21321000</v>
          </cell>
          <cell r="M170">
            <v>7343900</v>
          </cell>
          <cell r="N170">
            <v>13977100</v>
          </cell>
        </row>
        <row r="171">
          <cell r="A171">
            <v>426</v>
          </cell>
          <cell r="B171">
            <v>509</v>
          </cell>
          <cell r="C171">
            <v>43129</v>
          </cell>
          <cell r="D171" t="str">
            <v>DIANA KATERIN ESTEVEZ USSA</v>
          </cell>
          <cell r="E171">
            <v>31</v>
          </cell>
          <cell r="F171" t="str">
            <v>RESOLUCION</v>
          </cell>
          <cell r="G171">
            <v>202</v>
          </cell>
          <cell r="H171">
            <v>43129</v>
          </cell>
          <cell r="I171" t="str">
            <v>Asignacion del instrumento financiero a las familias ocupantes del predio que hayan superado la fase de verificacion dentro  del marco del Decreto 457 de 2017. LOCALIDAD: KENNEDY; BARRIO: VEREDITAS; ID: 2017-8-383724</v>
          </cell>
          <cell r="J171">
            <v>54686940</v>
          </cell>
          <cell r="K171">
            <v>0</v>
          </cell>
          <cell r="L171">
            <v>54686940</v>
          </cell>
          <cell r="M171">
            <v>54686940</v>
          </cell>
          <cell r="N171">
            <v>0</v>
          </cell>
        </row>
        <row r="172">
          <cell r="A172">
            <v>474</v>
          </cell>
          <cell r="B172">
            <v>510</v>
          </cell>
          <cell r="C172">
            <v>43129</v>
          </cell>
          <cell r="D172" t="str">
            <v>LILIANA PATRICIA GARCIA DIAZ</v>
          </cell>
          <cell r="E172">
            <v>31</v>
          </cell>
          <cell r="F172" t="str">
            <v>RESOLUCION</v>
          </cell>
          <cell r="G172">
            <v>203</v>
          </cell>
          <cell r="H172">
            <v>43129</v>
          </cell>
          <cell r="I172" t="str">
            <v>Asignacion del instrumento financiero a las familias ocupantes del predio que hayan superado la fase de verificacion dentro  del marco del Decreto 457 de 2017. LOCALIDAD: KENNEDY; BARRIO: VEREDITAS; ID: 2017-8-383669</v>
          </cell>
          <cell r="J172">
            <v>54686940</v>
          </cell>
          <cell r="K172">
            <v>0</v>
          </cell>
          <cell r="L172">
            <v>54686940</v>
          </cell>
          <cell r="M172">
            <v>54686940</v>
          </cell>
          <cell r="N172">
            <v>0</v>
          </cell>
        </row>
        <row r="173">
          <cell r="A173">
            <v>370</v>
          </cell>
          <cell r="B173">
            <v>511</v>
          </cell>
          <cell r="C173">
            <v>43129</v>
          </cell>
          <cell r="D173" t="str">
            <v>SARA JOHANNA MONTAÑO PRIETO</v>
          </cell>
          <cell r="E173">
            <v>31</v>
          </cell>
          <cell r="F173" t="str">
            <v>RESOLUCION</v>
          </cell>
          <cell r="G173">
            <v>201</v>
          </cell>
          <cell r="H173">
            <v>43129</v>
          </cell>
          <cell r="I173" t="str">
            <v>Asignacion del instrumento financiero a las familias ocupantes del predio que hayan superado la fase de verificacion dentro  del marco del Decreto 457 de 2017. LOCALIDAD: KENNEDY; BARRIO: VEREDITAS; ID: ID: 2017-8-383832.</v>
          </cell>
          <cell r="J173">
            <v>54686940</v>
          </cell>
          <cell r="K173">
            <v>0</v>
          </cell>
          <cell r="L173">
            <v>54686940</v>
          </cell>
          <cell r="M173">
            <v>54686940</v>
          </cell>
          <cell r="N173">
            <v>0</v>
          </cell>
        </row>
        <row r="174">
          <cell r="A174">
            <v>513</v>
          </cell>
          <cell r="B174">
            <v>512</v>
          </cell>
          <cell r="C174">
            <v>43129</v>
          </cell>
          <cell r="D174" t="str">
            <v>JOHAN SANTIAGO LOPEZ ROMERO</v>
          </cell>
          <cell r="E174">
            <v>31</v>
          </cell>
          <cell r="F174" t="str">
            <v>RESOLUCION</v>
          </cell>
          <cell r="G174">
            <v>205</v>
          </cell>
          <cell r="H174">
            <v>43129</v>
          </cell>
          <cell r="I174" t="str">
            <v>Asignacion del instrumento financiero a las familias ocupantes del predio que hayan superado la fase de verificacion dentro  del marco del Decreto 457 de 2017. LOCALIDAD: KENNEDY; BARRIO: VEREDITAS; ID: 2017-8-383774</v>
          </cell>
          <cell r="J174">
            <v>54686940</v>
          </cell>
          <cell r="K174">
            <v>0</v>
          </cell>
          <cell r="L174">
            <v>54686940</v>
          </cell>
          <cell r="M174">
            <v>0</v>
          </cell>
          <cell r="N174">
            <v>54686940</v>
          </cell>
        </row>
        <row r="175">
          <cell r="A175">
            <v>477</v>
          </cell>
          <cell r="B175">
            <v>513</v>
          </cell>
          <cell r="C175">
            <v>43129</v>
          </cell>
          <cell r="D175" t="str">
            <v>LUIS ALBERTO MURCIA ESCALANTE</v>
          </cell>
          <cell r="E175">
            <v>31</v>
          </cell>
          <cell r="F175" t="str">
            <v>RESOLUCION</v>
          </cell>
          <cell r="G175">
            <v>204</v>
          </cell>
          <cell r="H175">
            <v>43129</v>
          </cell>
          <cell r="I175" t="str">
            <v>Asignacion del instrumento financiero a las familias ocupantes del predio que hayan superado la fase de verificacion dentro  del marco del Decreto 457 de 2017. LOCALIDAD: KENNEDY; BARRIO: VEREDITAS; ID: 2017-8-383702</v>
          </cell>
          <cell r="J175">
            <v>54686940</v>
          </cell>
          <cell r="K175">
            <v>0</v>
          </cell>
          <cell r="L175">
            <v>54686940</v>
          </cell>
          <cell r="M175">
            <v>54686940</v>
          </cell>
          <cell r="N175">
            <v>0</v>
          </cell>
        </row>
        <row r="176">
          <cell r="A176">
            <v>494</v>
          </cell>
          <cell r="B176">
            <v>515</v>
          </cell>
          <cell r="C176">
            <v>43131</v>
          </cell>
          <cell r="D176" t="str">
            <v>ASCENCION REBECA RODRIGUEZ RODRIGUEZ</v>
          </cell>
          <cell r="E176">
            <v>31</v>
          </cell>
          <cell r="F176" t="str">
            <v>RESOLUCION</v>
          </cell>
          <cell r="G176">
            <v>220</v>
          </cell>
          <cell r="H176">
            <v>43131</v>
          </cell>
          <cell r="I176" t="str">
            <v>EXCEDENTE DE VUR CONFORME AL AVALÚO COMERCIAL (ASIGNACIÓN SEGUNDA VEZ). LOCALIDAD: SAN CRISTOBAL; BARRIO: LA BELLEZA;ID: 2013-Q10-00496</v>
          </cell>
          <cell r="J176">
            <v>30003100</v>
          </cell>
          <cell r="K176">
            <v>0</v>
          </cell>
          <cell r="L176">
            <v>30003100</v>
          </cell>
          <cell r="M176">
            <v>30003100</v>
          </cell>
          <cell r="N176">
            <v>0</v>
          </cell>
        </row>
        <row r="177">
          <cell r="A177">
            <v>497</v>
          </cell>
          <cell r="B177">
            <v>516</v>
          </cell>
          <cell r="C177">
            <v>43131</v>
          </cell>
          <cell r="D177" t="str">
            <v>GIOVANNY  GUASCA RODRIGUEZ</v>
          </cell>
          <cell r="E177">
            <v>31</v>
          </cell>
          <cell r="F177" t="str">
            <v>RESOLUCION</v>
          </cell>
          <cell r="G177">
            <v>221</v>
          </cell>
          <cell r="H177">
            <v>43131</v>
          </cell>
          <cell r="I177" t="str">
            <v>Excedente de VUR conforme al avalúo comercial (Asignación segunda vez)Dto. 255 de 2013. LOCALIDAD:SAN CRISTOBAL; BARRIO: QUINDIO; ID: 2015-Q20-04059</v>
          </cell>
          <cell r="J177">
            <v>16367330</v>
          </cell>
          <cell r="K177">
            <v>0</v>
          </cell>
          <cell r="L177">
            <v>16367330</v>
          </cell>
          <cell r="M177">
            <v>0</v>
          </cell>
          <cell r="N177">
            <v>16367330</v>
          </cell>
        </row>
        <row r="178">
          <cell r="A178">
            <v>504</v>
          </cell>
          <cell r="B178">
            <v>517</v>
          </cell>
          <cell r="C178">
            <v>43132</v>
          </cell>
          <cell r="D178" t="str">
            <v>ALEXANDER  OYOLA CULMA</v>
          </cell>
          <cell r="E178">
            <v>31</v>
          </cell>
          <cell r="F178" t="str">
            <v>RESOLUCION</v>
          </cell>
          <cell r="G178">
            <v>342</v>
          </cell>
          <cell r="H178">
            <v>43132</v>
          </cell>
          <cell r="I178" t="str">
            <v>VUR de la actual vigencia de acuerdo con el Decreto 255 de 2013. LOCALIDAD: CIUDAD BOLIVAR; BARRIO:EL MIRADOR 3; 2017-19-14978</v>
          </cell>
          <cell r="J178">
            <v>39062100</v>
          </cell>
          <cell r="K178">
            <v>0</v>
          </cell>
          <cell r="L178">
            <v>39062100</v>
          </cell>
          <cell r="M178">
            <v>39062100</v>
          </cell>
          <cell r="N178">
            <v>0</v>
          </cell>
        </row>
        <row r="179">
          <cell r="A179">
            <v>510</v>
          </cell>
          <cell r="B179">
            <v>518</v>
          </cell>
          <cell r="C179">
            <v>43132</v>
          </cell>
          <cell r="D179" t="str">
            <v>IVANEIDER  VARGAS COLLAZOS</v>
          </cell>
          <cell r="E179">
            <v>31</v>
          </cell>
          <cell r="F179" t="str">
            <v>RESOLUCION</v>
          </cell>
          <cell r="G179">
            <v>341</v>
          </cell>
          <cell r="H179">
            <v>43132</v>
          </cell>
          <cell r="I179" t="str">
            <v>Asignacion del instrumento financiero a las familias ocupantes del predio que hayan superado la fase de verificacion dentro  del marco del Decreto 457 de 2017. LOCALIDAD: KENNEDY; BARRIO: VEREDITAS; ID: 2017-8-383741</v>
          </cell>
          <cell r="J179">
            <v>54686940</v>
          </cell>
          <cell r="K179">
            <v>0</v>
          </cell>
          <cell r="L179">
            <v>54686940</v>
          </cell>
          <cell r="M179">
            <v>54686940</v>
          </cell>
          <cell r="N179">
            <v>0</v>
          </cell>
        </row>
        <row r="180">
          <cell r="A180">
            <v>534</v>
          </cell>
          <cell r="B180">
            <v>519</v>
          </cell>
          <cell r="C180">
            <v>43132</v>
          </cell>
          <cell r="D180" t="str">
            <v>JOHAN DANIEL WILCHES LOPEZ</v>
          </cell>
          <cell r="E180">
            <v>31</v>
          </cell>
          <cell r="F180" t="str">
            <v>RESOLUCION</v>
          </cell>
          <cell r="G180">
            <v>340</v>
          </cell>
          <cell r="H180">
            <v>43132</v>
          </cell>
          <cell r="I180" t="str">
            <v>Asignacion del instrumento financiero a las familias ocupantes del predio que hayan superado la fase de verificacion dentro  del marco del Decreto 457 de 2017. LOCALIDAD: KENNEDY; BARRIO: VEREDITAS; ID: 2017-8-383884</v>
          </cell>
          <cell r="J180">
            <v>54686940</v>
          </cell>
          <cell r="K180">
            <v>0</v>
          </cell>
          <cell r="L180">
            <v>54686940</v>
          </cell>
          <cell r="M180">
            <v>0</v>
          </cell>
          <cell r="N180">
            <v>54686940</v>
          </cell>
        </row>
        <row r="181">
          <cell r="A181">
            <v>478</v>
          </cell>
          <cell r="B181">
            <v>520</v>
          </cell>
          <cell r="C181">
            <v>43132</v>
          </cell>
          <cell r="D181" t="str">
            <v>GRACIELA  RODRIGUEZ PINTO</v>
          </cell>
          <cell r="E181">
            <v>31</v>
          </cell>
          <cell r="F181" t="str">
            <v>RESOLUCION</v>
          </cell>
          <cell r="G181">
            <v>335</v>
          </cell>
          <cell r="H181">
            <v>43132</v>
          </cell>
          <cell r="I181" t="str">
            <v>Asignacion del instrumento financiero a las familias ocupantes del predio que hayan superado la fase de verificacion dentro  del marco del Decreto 457 de 2017. LOCALIDAD: KENNEDY; BARRIO: VEREDITAS; ID: 2017-8-383694</v>
          </cell>
          <cell r="J181">
            <v>54686940</v>
          </cell>
          <cell r="K181">
            <v>0</v>
          </cell>
          <cell r="L181">
            <v>54686940</v>
          </cell>
          <cell r="M181">
            <v>54686940</v>
          </cell>
          <cell r="N181">
            <v>0</v>
          </cell>
        </row>
        <row r="182">
          <cell r="A182">
            <v>533</v>
          </cell>
          <cell r="B182">
            <v>521</v>
          </cell>
          <cell r="C182">
            <v>43132</v>
          </cell>
          <cell r="D182" t="str">
            <v>CRISTIAN ALEXIS CAIPA LOPEZ</v>
          </cell>
          <cell r="E182">
            <v>31</v>
          </cell>
          <cell r="F182" t="str">
            <v>RESOLUCION</v>
          </cell>
          <cell r="G182">
            <v>336</v>
          </cell>
          <cell r="H182">
            <v>43132</v>
          </cell>
          <cell r="I182" t="str">
            <v>Asignacion del instrumento financiero a las familias ocupantes del predio que hayan superado la fase de verificacion dentro  del marco del Decreto 457 de 2017. LOCALIDAD: KENNEDY; BARRIO: VEREDITAS; ID: 2017-8-383883</v>
          </cell>
          <cell r="J182">
            <v>54686940</v>
          </cell>
          <cell r="K182">
            <v>0</v>
          </cell>
          <cell r="L182">
            <v>54686940</v>
          </cell>
          <cell r="M182">
            <v>0</v>
          </cell>
          <cell r="N182">
            <v>54686940</v>
          </cell>
        </row>
        <row r="183">
          <cell r="A183">
            <v>475</v>
          </cell>
          <cell r="B183">
            <v>522</v>
          </cell>
          <cell r="C183">
            <v>43132</v>
          </cell>
          <cell r="D183" t="str">
            <v>OLGA MILENA PRIETO ROJAS</v>
          </cell>
          <cell r="E183">
            <v>31</v>
          </cell>
          <cell r="F183" t="str">
            <v>RESOLUCION</v>
          </cell>
          <cell r="G183">
            <v>339</v>
          </cell>
          <cell r="H183">
            <v>43132</v>
          </cell>
          <cell r="I183" t="str">
            <v>Asignacion del instrumento financiero a las familias ocupantes del predio que hayan superado la fase de verificacion dentro  del marco del Decreto 457 de 2017. LOCALIDAD: KENNEDY; BARRIO: VEREDITAS; ID: 2017-8-383661</v>
          </cell>
          <cell r="J183">
            <v>54686940</v>
          </cell>
          <cell r="K183">
            <v>0</v>
          </cell>
          <cell r="L183">
            <v>54686940</v>
          </cell>
          <cell r="M183">
            <v>54686940</v>
          </cell>
          <cell r="N183">
            <v>0</v>
          </cell>
        </row>
        <row r="184">
          <cell r="A184">
            <v>537</v>
          </cell>
          <cell r="B184">
            <v>523</v>
          </cell>
          <cell r="C184">
            <v>43132</v>
          </cell>
          <cell r="D184" t="str">
            <v>LINA KATHERINE AYALA SANTANA</v>
          </cell>
          <cell r="E184">
            <v>31</v>
          </cell>
          <cell r="F184" t="str">
            <v>RESOLUCION</v>
          </cell>
          <cell r="G184">
            <v>337</v>
          </cell>
          <cell r="H184">
            <v>43132</v>
          </cell>
          <cell r="I184" t="str">
            <v>Asignacion del instrumento financiero a las familias ocupantes del predio que hayan superado la fase de verificacion dentro  del marco del Decreto 457 de 2017. LOCALIDAD: KENNEDY; BARRIO: VEREDITAS; ID: 2017-8-383886</v>
          </cell>
          <cell r="J184">
            <v>54686940</v>
          </cell>
          <cell r="K184">
            <v>0</v>
          </cell>
          <cell r="L184">
            <v>54686940</v>
          </cell>
          <cell r="M184">
            <v>0</v>
          </cell>
          <cell r="N184">
            <v>54686940</v>
          </cell>
        </row>
        <row r="185">
          <cell r="A185">
            <v>535</v>
          </cell>
          <cell r="B185">
            <v>524</v>
          </cell>
          <cell r="C185">
            <v>43132</v>
          </cell>
          <cell r="D185" t="str">
            <v>TATIANA ASTRID GARZON MONCADA</v>
          </cell>
          <cell r="E185">
            <v>31</v>
          </cell>
          <cell r="F185" t="str">
            <v>RESOLUCION</v>
          </cell>
          <cell r="G185">
            <v>338</v>
          </cell>
          <cell r="H185">
            <v>43132</v>
          </cell>
          <cell r="I185" t="str">
            <v>Asignacion del instrumento financiero a las familias ocupantes del predio que hayan superado la fase de verificacion dentro  del marco del Decreto 457 de 2017. LOCALIDAD: KENNEDY; BARRIO: VEREDITAS; ID: 2017-8-383885</v>
          </cell>
          <cell r="J185">
            <v>54686940</v>
          </cell>
          <cell r="K185">
            <v>0</v>
          </cell>
          <cell r="L185">
            <v>54686940</v>
          </cell>
          <cell r="M185">
            <v>54686940</v>
          </cell>
          <cell r="N185">
            <v>0</v>
          </cell>
        </row>
        <row r="186">
          <cell r="A186">
            <v>540</v>
          </cell>
          <cell r="B186">
            <v>525</v>
          </cell>
          <cell r="C186">
            <v>43132</v>
          </cell>
          <cell r="D186" t="str">
            <v>ERIC STEVE LOPEZ PENAGOS</v>
          </cell>
          <cell r="E186">
            <v>31</v>
          </cell>
          <cell r="F186" t="str">
            <v>RESOLUCION</v>
          </cell>
          <cell r="G186">
            <v>333</v>
          </cell>
          <cell r="H186">
            <v>43132</v>
          </cell>
          <cell r="I186" t="str">
            <v>Asignacion del instrumento financiero a las familias ocupantes del predio que hayan superado la fase de verificacion dentro  del marco del Decreto 457 de 2017. LOCALIDAD: KENNEDY; BARRIO: VEREDITAS; ID: 2017-8-383889</v>
          </cell>
          <cell r="J186">
            <v>54686940</v>
          </cell>
          <cell r="K186">
            <v>0</v>
          </cell>
          <cell r="L186">
            <v>54686940</v>
          </cell>
          <cell r="M186">
            <v>0</v>
          </cell>
          <cell r="N186">
            <v>54686940</v>
          </cell>
        </row>
        <row r="187">
          <cell r="A187">
            <v>512</v>
          </cell>
          <cell r="B187">
            <v>526</v>
          </cell>
          <cell r="C187">
            <v>43132</v>
          </cell>
          <cell r="D187" t="str">
            <v>CAROLINA  NOPE ARIAS</v>
          </cell>
          <cell r="E187">
            <v>31</v>
          </cell>
          <cell r="F187" t="str">
            <v>RESOLUCION</v>
          </cell>
          <cell r="G187">
            <v>334</v>
          </cell>
          <cell r="H187">
            <v>43132</v>
          </cell>
          <cell r="I187" t="str">
            <v>Asignacion del instrumento financiero a las familias ocupantes del predio que hayan superado la fase de verificacion dentro  del marco del Decreto 457 de 2017. LOCALIDAD: KENNEDY; BARRIO: VEREDITAS; ID: 2017-8-383663</v>
          </cell>
          <cell r="J187">
            <v>54686940</v>
          </cell>
          <cell r="K187">
            <v>0</v>
          </cell>
          <cell r="L187">
            <v>54686940</v>
          </cell>
          <cell r="M187">
            <v>54686940</v>
          </cell>
          <cell r="N187">
            <v>0</v>
          </cell>
        </row>
        <row r="188">
          <cell r="A188">
            <v>395</v>
          </cell>
          <cell r="B188">
            <v>528</v>
          </cell>
          <cell r="C188">
            <v>43133</v>
          </cell>
          <cell r="D188" t="str">
            <v>SANDRA LILIANA AREVALO RAMIREZ</v>
          </cell>
          <cell r="E188">
            <v>31</v>
          </cell>
          <cell r="F188" t="str">
            <v>RESOLUCION</v>
          </cell>
          <cell r="G188">
            <v>330</v>
          </cell>
          <cell r="H188">
            <v>43133</v>
          </cell>
          <cell r="I188" t="str">
            <v>AYUDA TEMPORAL A LAS FAMILIAS DE VARIAS LOCALIDADES, PARA RELOCALIZACIÓN DE HOGARES LOCALIZADOS EN ZONAS DE ALTO RIESGO NO MITIGABLE ID:2011-18-13228, LOCALIDAD:18 RAFAEL URIBE URIBE, UPZ:54 MARRUECOS</v>
          </cell>
          <cell r="J188">
            <v>5754190</v>
          </cell>
          <cell r="K188">
            <v>0</v>
          </cell>
          <cell r="L188">
            <v>5754190</v>
          </cell>
          <cell r="M188">
            <v>1770520</v>
          </cell>
          <cell r="N188">
            <v>3983670</v>
          </cell>
        </row>
        <row r="189">
          <cell r="A189">
            <v>395</v>
          </cell>
          <cell r="B189">
            <v>529</v>
          </cell>
          <cell r="C189">
            <v>43133</v>
          </cell>
          <cell r="D189" t="str">
            <v>YOLANDA  ROJAS RIAÑO</v>
          </cell>
          <cell r="E189">
            <v>31</v>
          </cell>
          <cell r="F189" t="str">
            <v>RESOLUCION</v>
          </cell>
          <cell r="G189">
            <v>323</v>
          </cell>
          <cell r="H189">
            <v>43133</v>
          </cell>
          <cell r="I189" t="str">
            <v>AYUDA TEMPORAL A LAS FAMILIAS DE VARIAS LOCALIDADES, PARA RELOCALIZACIÓN DE HOGARES LOCALIZADOS EN ZONAS DE ALTO RIESGO NO MITIGABLE ID:2010-19-11706, LOCALIDAD:19 CIUDAD BOLÍVAR, UPZ:69 ISMAEL PERDOMO, SECTOR:OLA INVERNAL 2010 FOPAE</v>
          </cell>
          <cell r="J189">
            <v>2895708</v>
          </cell>
          <cell r="K189">
            <v>482618</v>
          </cell>
          <cell r="L189">
            <v>2413090</v>
          </cell>
          <cell r="M189">
            <v>965236</v>
          </cell>
          <cell r="N189">
            <v>1447854</v>
          </cell>
        </row>
        <row r="190">
          <cell r="A190">
            <v>395</v>
          </cell>
          <cell r="B190">
            <v>530</v>
          </cell>
          <cell r="C190">
            <v>43133</v>
          </cell>
          <cell r="D190" t="str">
            <v>JUANA PAULA GAÑAN DE TAPASCO</v>
          </cell>
          <cell r="E190">
            <v>31</v>
          </cell>
          <cell r="F190" t="str">
            <v>RESOLUCION</v>
          </cell>
          <cell r="G190">
            <v>324</v>
          </cell>
          <cell r="H190">
            <v>43133</v>
          </cell>
          <cell r="I190" t="str">
            <v>AYUDA TEMPORAL A LAS FAMILIAS DE VARIAS LOCALIDADES, PARA RELOCALIZACIÓN DE HOGARES LOCALIZADOS EN ZONAS DE ALTO RIESGO NO MITIGABLE ID:2011-4-12722, LOCALIDAD:04 SAN CRISTÓBAL, UPZ:32 SAN BLAS</v>
          </cell>
          <cell r="J190">
            <v>2281062</v>
          </cell>
          <cell r="K190">
            <v>0</v>
          </cell>
          <cell r="L190">
            <v>2281062</v>
          </cell>
          <cell r="M190">
            <v>1140531</v>
          </cell>
          <cell r="N190">
            <v>1140531</v>
          </cell>
        </row>
        <row r="191">
          <cell r="A191">
            <v>395</v>
          </cell>
          <cell r="B191">
            <v>531</v>
          </cell>
          <cell r="C191">
            <v>43133</v>
          </cell>
          <cell r="D191" t="str">
            <v>ANDREA ESTEFANIA GARZON VARGAS</v>
          </cell>
          <cell r="E191">
            <v>31</v>
          </cell>
          <cell r="F191" t="str">
            <v>RESOLUCION</v>
          </cell>
          <cell r="G191">
            <v>157</v>
          </cell>
          <cell r="H191">
            <v>43133</v>
          </cell>
          <cell r="I191" t="str">
            <v>AYUDA TEMPORAL A LAS FAMILIAS DE VARIAS LOCALIDADES, PARA RELOCALIZACIÓN DE HOGARES LOCALIZADOS EN ZONAS DE ALTO RIESGO NO MITIGABLE ID:2016-OTR-01554, LOCALIDAD:04 SAN CRISTÓBAL, UPZ:32 SAN BLAS, SECTOR:TRIANGULO ALTO</v>
          </cell>
          <cell r="J191">
            <v>6274047</v>
          </cell>
          <cell r="K191">
            <v>0</v>
          </cell>
          <cell r="L191">
            <v>6274047</v>
          </cell>
          <cell r="M191">
            <v>1930476</v>
          </cell>
          <cell r="N191">
            <v>4343571</v>
          </cell>
        </row>
        <row r="192">
          <cell r="A192">
            <v>395</v>
          </cell>
          <cell r="B192">
            <v>532</v>
          </cell>
          <cell r="C192">
            <v>43133</v>
          </cell>
          <cell r="D192" t="str">
            <v>MARIA IMELDA RODRIGUEZ NIETO</v>
          </cell>
          <cell r="E192">
            <v>31</v>
          </cell>
          <cell r="F192" t="str">
            <v>RESOLUCION</v>
          </cell>
          <cell r="G192">
            <v>158</v>
          </cell>
          <cell r="H192">
            <v>43133</v>
          </cell>
          <cell r="I192" t="str">
            <v>AYUDA TEMPORAL A LAS FAMILIAS DE VARIAS LOCALIDADES, PARA RELOCALIZACIÓN DE HOGARES LOCALIZADOS EN ZONAS DE ALTO RIESGO NO MITIGABLE ID:2010-18-12379, LOCALIDAD:18 RAFAEL URIBE URIBE, UPZ:54 MARRUECOS, SECTOR:OLA INVERNAL 2010 FOPAE</v>
          </cell>
          <cell r="J192">
            <v>2977345</v>
          </cell>
          <cell r="K192">
            <v>0</v>
          </cell>
          <cell r="L192">
            <v>2977345</v>
          </cell>
          <cell r="M192">
            <v>1701340</v>
          </cell>
          <cell r="N192">
            <v>1276005</v>
          </cell>
        </row>
        <row r="193">
          <cell r="A193">
            <v>577</v>
          </cell>
          <cell r="B193">
            <v>533</v>
          </cell>
          <cell r="C193">
            <v>43133</v>
          </cell>
          <cell r="D193" t="str">
            <v>GERMAN RICARDO DIAZ SILVA</v>
          </cell>
          <cell r="E193">
            <v>31</v>
          </cell>
          <cell r="F193" t="str">
            <v>RESOLUCION</v>
          </cell>
          <cell r="G193">
            <v>515</v>
          </cell>
          <cell r="H193">
            <v>43133</v>
          </cell>
          <cell r="I193" t="str">
            <v>Asignacion del instrumento financiero a las familias ocupantes del predio que hayan superado la fase de verificacion dentro  del marco del Decreto 457 de 2017. LOCALIDAD: KENNEDY; BARRIO: VEREDITAS; ID: 2017-8-383898</v>
          </cell>
          <cell r="J193">
            <v>54686940</v>
          </cell>
          <cell r="K193">
            <v>0</v>
          </cell>
          <cell r="L193">
            <v>54686940</v>
          </cell>
          <cell r="M193">
            <v>54686940</v>
          </cell>
          <cell r="N193">
            <v>0</v>
          </cell>
        </row>
        <row r="194">
          <cell r="A194">
            <v>395</v>
          </cell>
          <cell r="B194">
            <v>534</v>
          </cell>
          <cell r="C194">
            <v>43133</v>
          </cell>
          <cell r="D194" t="str">
            <v>DIANA MARCELA PARRA RAMIREZ</v>
          </cell>
          <cell r="E194">
            <v>31</v>
          </cell>
          <cell r="F194" t="str">
            <v>RESOLUCION</v>
          </cell>
          <cell r="G194">
            <v>159</v>
          </cell>
          <cell r="H194">
            <v>43133</v>
          </cell>
          <cell r="I194" t="str">
            <v>AYUDA TEMPORAL A LAS FAMILIAS DE VARIAS LOCALIDADES, PARA RELOCALIZACIÓN DE HOGARES LOCALIZADOS EN ZONAS DE ALTO RIESGO NO MITIGABLE ID:2011-19-12599, LOCALIDAD:19 CIUDAD BOLÍVAR, UPZ:67 LUCERO</v>
          </cell>
          <cell r="J194">
            <v>3098410</v>
          </cell>
          <cell r="K194">
            <v>0</v>
          </cell>
          <cell r="L194">
            <v>3098410</v>
          </cell>
          <cell r="M194">
            <v>1770520</v>
          </cell>
          <cell r="N194">
            <v>1327890</v>
          </cell>
        </row>
        <row r="195">
          <cell r="A195">
            <v>395</v>
          </cell>
          <cell r="B195">
            <v>535</v>
          </cell>
          <cell r="C195">
            <v>43133</v>
          </cell>
          <cell r="D195" t="str">
            <v>MATEO  GONZALEZ MARTINEZ</v>
          </cell>
          <cell r="E195">
            <v>31</v>
          </cell>
          <cell r="F195" t="str">
            <v>RESOLUCION</v>
          </cell>
          <cell r="G195">
            <v>160</v>
          </cell>
          <cell r="H195">
            <v>43133</v>
          </cell>
          <cell r="I195" t="str">
            <v>AYUDA TEMPORAL A LAS FAMILIAS DE VARIAS LOCALIDADES, PARA RELOCALIZACIÓN DE HOGARES LOCALIZADOS EN ZONAS DE ALTO RIESGO NO MITIGABLE ID:2014-Q03-01020, LOCALIDAD:19 CIUDAD BOLÍVAR, UPZ:66 SAN FRANCISCO, SECTOR:LIMAS</v>
          </cell>
          <cell r="J195">
            <v>2886555</v>
          </cell>
          <cell r="K195">
            <v>0</v>
          </cell>
          <cell r="L195">
            <v>2886555</v>
          </cell>
          <cell r="M195">
            <v>1649460</v>
          </cell>
          <cell r="N195">
            <v>1237095</v>
          </cell>
        </row>
        <row r="196">
          <cell r="A196">
            <v>395</v>
          </cell>
          <cell r="B196">
            <v>536</v>
          </cell>
          <cell r="C196">
            <v>43133</v>
          </cell>
          <cell r="D196" t="str">
            <v>MARIA JUDITH MORENO PUENTES</v>
          </cell>
          <cell r="E196">
            <v>31</v>
          </cell>
          <cell r="F196" t="str">
            <v>RESOLUCION</v>
          </cell>
          <cell r="G196">
            <v>161</v>
          </cell>
          <cell r="H196">
            <v>43133</v>
          </cell>
          <cell r="I196" t="str">
            <v>AYUDA TEMPORAL A LAS FAMILIAS DE VARIAS LOCALIDADES, PARA RELOCALIZACIÓN DE HOGARES LOCALIZADOS EN ZONAS DE ALTO RIESGO NO MITIGABLE ID:2013-Q04-00325, LOCALIDAD:19 CIUDAD BOLÍVAR, UPZ:67 LUCERO, SECTOR:QUEBRADA TROMPETA</v>
          </cell>
          <cell r="J196">
            <v>2685291</v>
          </cell>
          <cell r="K196">
            <v>0</v>
          </cell>
          <cell r="L196">
            <v>2685291</v>
          </cell>
          <cell r="M196">
            <v>1534452</v>
          </cell>
          <cell r="N196">
            <v>1150839</v>
          </cell>
        </row>
        <row r="197">
          <cell r="A197">
            <v>395</v>
          </cell>
          <cell r="B197">
            <v>537</v>
          </cell>
          <cell r="C197">
            <v>43133</v>
          </cell>
          <cell r="D197" t="str">
            <v>JAIRO FELIPE ACOSTA MONTOYA</v>
          </cell>
          <cell r="E197">
            <v>31</v>
          </cell>
          <cell r="F197" t="str">
            <v>RESOLUCION</v>
          </cell>
          <cell r="G197">
            <v>162</v>
          </cell>
          <cell r="H197">
            <v>43133</v>
          </cell>
          <cell r="I197" t="str">
            <v>AYUDA TEMPORAL A LAS FAMILIAS DE VARIAS LOCALIDADES, PARA RELOCALIZACIÓN DE HOGARES LOCALIZADOS EN ZONAS DE ALTO RIESGO NO MITIGABLE ID:2011-18-13190, LOCALIDAD:18 RAFAEL URIBE URIBE, UPZ:55 DIANA TURBAY</v>
          </cell>
          <cell r="J197">
            <v>2582006</v>
          </cell>
          <cell r="K197">
            <v>0</v>
          </cell>
          <cell r="L197">
            <v>2582006</v>
          </cell>
          <cell r="M197">
            <v>1106574</v>
          </cell>
          <cell r="N197">
            <v>1475432</v>
          </cell>
        </row>
        <row r="198">
          <cell r="A198">
            <v>395</v>
          </cell>
          <cell r="B198">
            <v>538</v>
          </cell>
          <cell r="C198">
            <v>43133</v>
          </cell>
          <cell r="D198" t="str">
            <v>ELVIA MARIA GALINDO PAEZ</v>
          </cell>
          <cell r="E198">
            <v>31</v>
          </cell>
          <cell r="F198" t="str">
            <v>RESOLUCION</v>
          </cell>
          <cell r="G198">
            <v>163</v>
          </cell>
          <cell r="H198">
            <v>43133</v>
          </cell>
          <cell r="I198" t="str">
            <v>AYUDA TEMPORAL A LAS FAMILIAS DE VARIAS LOCALIDADES, PARA RELOCALIZACIÓN DE HOGARES LOCALIZADOS EN ZONAS DE ALTO RIESGO NO MITIGABLE ID:2011-4-13624, LOCALIDAD:04 SAN CRISTÓBAL, UPZ:50 LA GLORIA</v>
          </cell>
          <cell r="J198">
            <v>5057910</v>
          </cell>
          <cell r="K198">
            <v>0</v>
          </cell>
          <cell r="L198">
            <v>5057910</v>
          </cell>
          <cell r="M198">
            <v>1556280</v>
          </cell>
          <cell r="N198">
            <v>3501630</v>
          </cell>
        </row>
        <row r="199">
          <cell r="A199">
            <v>395</v>
          </cell>
          <cell r="B199">
            <v>539</v>
          </cell>
          <cell r="C199">
            <v>43133</v>
          </cell>
          <cell r="D199" t="str">
            <v>RAMIRO  LEON PEREZ</v>
          </cell>
          <cell r="E199">
            <v>31</v>
          </cell>
          <cell r="F199" t="str">
            <v>RESOLUCION</v>
          </cell>
          <cell r="G199">
            <v>329</v>
          </cell>
          <cell r="H199">
            <v>43133</v>
          </cell>
          <cell r="I199" t="str">
            <v>AYUDA TEMPORAL A LAS FAMILIAS DE VARIAS LOCALIDADES, PARA RELOCALIZACIÓN DE HOGARES LOCALIZADOS EN ZONAS DE ALTO RIESGO NO MITIGABLE ID:2011-4-12692, LOCALIDAD:04 SAN CRISTÓBAL, UPZ:32 SAN BLAS</v>
          </cell>
          <cell r="J199">
            <v>2213148</v>
          </cell>
          <cell r="K199">
            <v>0</v>
          </cell>
          <cell r="L199">
            <v>2213148</v>
          </cell>
          <cell r="M199">
            <v>1106574</v>
          </cell>
          <cell r="N199">
            <v>1106574</v>
          </cell>
        </row>
        <row r="200">
          <cell r="A200">
            <v>395</v>
          </cell>
          <cell r="B200">
            <v>540</v>
          </cell>
          <cell r="C200">
            <v>43133</v>
          </cell>
          <cell r="D200" t="str">
            <v>MARIA BERENICE LIZARAZO CARREÑO</v>
          </cell>
          <cell r="E200">
            <v>31</v>
          </cell>
          <cell r="F200" t="str">
            <v>RESOLUCION</v>
          </cell>
          <cell r="G200">
            <v>164</v>
          </cell>
          <cell r="H200">
            <v>43133</v>
          </cell>
          <cell r="I200" t="str">
            <v>AYUDA TEMPORAL A LAS FAMILIAS DE VARIAS LOCALIDADES, PARA RELOCALIZACIÓN DE HOGARES LOCALIZADOS EN ZONAS DE ALTO RIESGO NO MITIGABLE ID:2005-18-6303, LOCALIDAD:18 RAFAEL URIBE URIBE, UPZ:55 DIANA TURBAY</v>
          </cell>
          <cell r="J200">
            <v>3570210</v>
          </cell>
          <cell r="K200">
            <v>0</v>
          </cell>
          <cell r="L200">
            <v>3570210</v>
          </cell>
          <cell r="M200">
            <v>1020060</v>
          </cell>
          <cell r="N200">
            <v>2550150</v>
          </cell>
        </row>
        <row r="201">
          <cell r="A201">
            <v>395</v>
          </cell>
          <cell r="B201">
            <v>541</v>
          </cell>
          <cell r="C201">
            <v>43133</v>
          </cell>
          <cell r="D201" t="str">
            <v>EDNA LICED CAPERA SERRANO</v>
          </cell>
          <cell r="E201">
            <v>31</v>
          </cell>
          <cell r="F201" t="str">
            <v>RESOLUCION</v>
          </cell>
          <cell r="G201">
            <v>327</v>
          </cell>
          <cell r="H201">
            <v>43133</v>
          </cell>
          <cell r="I201" t="str">
            <v>AYUDA TEMPORAL A LAS FAMILIAS DE VARIAS LOCALIDADES, PARA RELOCALIZACIÓN DE HOGARES LOCALIZADOS EN ZONAS DE ALTO RIESGO NO MITIGABLE ID:2016-08-14900, LOCALIDAD:08 KENNEDY, UPZ:82 PATIO BONITO, SECTOR:PALMITAS</v>
          </cell>
          <cell r="J201">
            <v>3614814</v>
          </cell>
          <cell r="K201">
            <v>0</v>
          </cell>
          <cell r="L201">
            <v>3614814</v>
          </cell>
          <cell r="M201">
            <v>2065608</v>
          </cell>
          <cell r="N201">
            <v>1549206</v>
          </cell>
        </row>
        <row r="202">
          <cell r="A202">
            <v>395</v>
          </cell>
          <cell r="B202">
            <v>543</v>
          </cell>
          <cell r="C202">
            <v>43133</v>
          </cell>
          <cell r="D202" t="str">
            <v>OLGA PATRICIA ZAMORA SALAMANCA</v>
          </cell>
          <cell r="E202">
            <v>31</v>
          </cell>
          <cell r="F202" t="str">
            <v>RESOLUCION</v>
          </cell>
          <cell r="G202">
            <v>165</v>
          </cell>
          <cell r="H202">
            <v>43133</v>
          </cell>
          <cell r="I202" t="str">
            <v>AYUDA TEMPORAL A LAS FAMILIAS DE VARIAS LOCALIDADES, PARA RELOCALIZACIÓN DE HOGARES LOCALIZADOS EN ZONAS DE ALTO RIESGO NO MITIGABLE ID:2006-4-7956, LOCALIDAD:04 SAN CRISTÓBAL, UPZ:32 SAN BLAS</v>
          </cell>
          <cell r="J202">
            <v>2582006</v>
          </cell>
          <cell r="K202">
            <v>0</v>
          </cell>
          <cell r="L202">
            <v>2582006</v>
          </cell>
          <cell r="M202">
            <v>1475432</v>
          </cell>
          <cell r="N202">
            <v>1106574</v>
          </cell>
        </row>
        <row r="203">
          <cell r="A203">
            <v>395</v>
          </cell>
          <cell r="B203">
            <v>544</v>
          </cell>
          <cell r="C203">
            <v>43133</v>
          </cell>
          <cell r="D203" t="str">
            <v>JESUS EMILIO ORDOÑEZ BRAVO</v>
          </cell>
          <cell r="E203">
            <v>31</v>
          </cell>
          <cell r="F203" t="str">
            <v>RESOLUCION</v>
          </cell>
          <cell r="G203">
            <v>328</v>
          </cell>
          <cell r="H203">
            <v>43133</v>
          </cell>
          <cell r="I203" t="str">
            <v>AYUDA TEMPORAL A LAS FAMILIAS DE VARIAS LOCALIDADES, PARA RELOCALIZACIÓN DE HOGARES LOCALIZADOS EN ZONAS DE ALTO RIESGO NO MITIGABLE ID:2013-Q09-00470, LOCALIDAD:19 CIUDAD BOLÍVAR, UPZ:67 LUCERO, SECTOR:QUEBRADA TROMPETA</v>
          </cell>
          <cell r="J203">
            <v>5361707</v>
          </cell>
          <cell r="K203">
            <v>0</v>
          </cell>
          <cell r="L203">
            <v>5361707</v>
          </cell>
          <cell r="M203">
            <v>1649756</v>
          </cell>
          <cell r="N203">
            <v>3711951</v>
          </cell>
        </row>
        <row r="204">
          <cell r="A204">
            <v>395</v>
          </cell>
          <cell r="B204">
            <v>545</v>
          </cell>
          <cell r="C204">
            <v>43133</v>
          </cell>
          <cell r="D204" t="str">
            <v>YENIFER GABRIELA ORJUELA PACHECO</v>
          </cell>
          <cell r="E204">
            <v>31</v>
          </cell>
          <cell r="F204" t="str">
            <v>RESOLUCION</v>
          </cell>
          <cell r="G204">
            <v>166</v>
          </cell>
          <cell r="H204">
            <v>43133</v>
          </cell>
          <cell r="I204" t="str">
            <v>AYUDA TEMPORAL A LAS FAMILIAS DE VARIAS LOCALIDADES, PARA RELOCALIZACIÓN DE HOGARES LOCALIZADOS EN ZONAS DE ALTO RIESGO NO MITIGABLE ID:2016-08-14912, LOCALIDAD:08 KENNEDY, UPZ:82 PATIO BONITO, SECTOR:PALMITAS</v>
          </cell>
          <cell r="J204">
            <v>5466487</v>
          </cell>
          <cell r="K204">
            <v>0</v>
          </cell>
          <cell r="L204">
            <v>5466487</v>
          </cell>
          <cell r="M204">
            <v>1681996</v>
          </cell>
          <cell r="N204">
            <v>3784491</v>
          </cell>
        </row>
        <row r="205">
          <cell r="A205">
            <v>395</v>
          </cell>
          <cell r="B205">
            <v>547</v>
          </cell>
          <cell r="C205">
            <v>43133</v>
          </cell>
          <cell r="D205" t="str">
            <v>LUZ ADRIANA TUNJUELO NIEVES</v>
          </cell>
          <cell r="E205">
            <v>31</v>
          </cell>
          <cell r="F205" t="str">
            <v>RESOLUCION</v>
          </cell>
          <cell r="G205">
            <v>167</v>
          </cell>
          <cell r="H205">
            <v>43133</v>
          </cell>
          <cell r="I205" t="str">
            <v>AYUDA TEMPORAL A LAS FAMILIAS DE VARIAS LOCALIDADES, PARA RELOCALIZACIÓN DE HOGARES LOCALIZADOS EN ZONAS DE ALTO RIESGO NO MITIGABLE ID:2012-ALES-328, LOCALIDAD:19 CIUDAD BOLÍVAR, UPZ:69 ISMAEL PERDOMO, SECTOR:ALTOS DE LA ESTANCIA</v>
          </cell>
          <cell r="J205">
            <v>3218670</v>
          </cell>
          <cell r="K205">
            <v>0</v>
          </cell>
          <cell r="L205">
            <v>3218670</v>
          </cell>
          <cell r="M205">
            <v>1839240</v>
          </cell>
          <cell r="N205">
            <v>1379430</v>
          </cell>
        </row>
        <row r="206">
          <cell r="A206">
            <v>395</v>
          </cell>
          <cell r="B206">
            <v>548</v>
          </cell>
          <cell r="C206">
            <v>43133</v>
          </cell>
          <cell r="D206" t="str">
            <v>MARIA ADIELA GIRALDO VALENCIA</v>
          </cell>
          <cell r="E206">
            <v>31</v>
          </cell>
          <cell r="F206" t="str">
            <v>RESOLUCION</v>
          </cell>
          <cell r="G206">
            <v>223</v>
          </cell>
          <cell r="H206">
            <v>43133</v>
          </cell>
          <cell r="I206" t="str">
            <v>AYUDA TEMPORAL A LAS FAMILIAS DE VARIAS LOCALIDADES, PARA RELOCALIZACIÓN DE HOGARES LOCALIZADOS EN ZONAS DE ALTO RIESGO NO MITIGABLE ID:2013000164, LOCALIDAD:19 CIUDAD BOLÍVAR, UPZ:67 LUCERO, SECTOR:QUEBRADA TROMPETA</v>
          </cell>
          <cell r="J206">
            <v>5274672</v>
          </cell>
          <cell r="K206">
            <v>0</v>
          </cell>
          <cell r="L206">
            <v>5274672</v>
          </cell>
          <cell r="M206">
            <v>1217232</v>
          </cell>
          <cell r="N206">
            <v>4057440</v>
          </cell>
        </row>
        <row r="207">
          <cell r="A207">
            <v>395</v>
          </cell>
          <cell r="B207">
            <v>549</v>
          </cell>
          <cell r="C207">
            <v>43133</v>
          </cell>
          <cell r="D207" t="str">
            <v>ROSENDO  SANCHEZ</v>
          </cell>
          <cell r="E207">
            <v>31</v>
          </cell>
          <cell r="F207" t="str">
            <v>RESOLUCION</v>
          </cell>
          <cell r="G207">
            <v>224</v>
          </cell>
          <cell r="H207">
            <v>43133</v>
          </cell>
          <cell r="I207" t="str">
            <v>AYUDA TEMPORAL A LAS FAMILIAS DE VARIAS LOCALIDADES, PARA RELOCALIZACIÓN DE HOGARES LOCALIZADOS EN ZONAS DE ALTO RIESGO NO MITIGABLE ID:2017-18-14937, LOCALIDAD:18 RAFAEL URIBE URIBE, UPZ:54 MARRUECOS</v>
          </cell>
          <cell r="J207">
            <v>6233708</v>
          </cell>
          <cell r="K207">
            <v>0</v>
          </cell>
          <cell r="L207">
            <v>6233708</v>
          </cell>
          <cell r="M207">
            <v>1918064</v>
          </cell>
          <cell r="N207">
            <v>4315644</v>
          </cell>
        </row>
        <row r="208">
          <cell r="A208">
            <v>395</v>
          </cell>
          <cell r="B208">
            <v>552</v>
          </cell>
          <cell r="C208">
            <v>43133</v>
          </cell>
          <cell r="D208" t="str">
            <v>MARIA EMILSE PATIÑO</v>
          </cell>
          <cell r="E208">
            <v>31</v>
          </cell>
          <cell r="F208" t="str">
            <v>RESOLUCION</v>
          </cell>
          <cell r="G208">
            <v>168</v>
          </cell>
          <cell r="H208">
            <v>43133</v>
          </cell>
          <cell r="I208" t="str">
            <v>AYUDA TEMPORAL A LAS FAMILIAS DE VARIAS LOCALIDADES, PARA RELOCALIZACIÓN DE HOGARES LOCALIZADOS EN ZONAS DE ALTO RIESGO NO MITIGABLE ID:2013-Q09-00467, LOCALIDAD:19 CIUDAD BOLÍVAR, UPZ:67 LUCERO, SECTOR:QUEBRADA TROMPETA</v>
          </cell>
          <cell r="J208">
            <v>6431698</v>
          </cell>
          <cell r="K208">
            <v>0</v>
          </cell>
          <cell r="L208">
            <v>6431698</v>
          </cell>
          <cell r="M208">
            <v>1978984</v>
          </cell>
          <cell r="N208">
            <v>4452714</v>
          </cell>
        </row>
        <row r="209">
          <cell r="A209">
            <v>395</v>
          </cell>
          <cell r="B209">
            <v>553</v>
          </cell>
          <cell r="C209">
            <v>43133</v>
          </cell>
          <cell r="D209" t="str">
            <v>JHONI  RIVERA PELAEZ</v>
          </cell>
          <cell r="E209">
            <v>31</v>
          </cell>
          <cell r="F209" t="str">
            <v>RESOLUCION</v>
          </cell>
          <cell r="G209">
            <v>169</v>
          </cell>
          <cell r="H209">
            <v>43133</v>
          </cell>
          <cell r="I209" t="str">
            <v>AYUDA TEMPORAL A LAS FAMILIAS DE VARIAS LOCALIDADES, PARA RELOCALIZACIÓN DE HOGARES LOCALIZADOS EN ZONAS DE ALTO RIESGO NO MITIGABLE ID:2016-08-14779, LOCALIDAD:08 KENNEDY, UPZ:82 PATIO BONITO, SECTOR:PALMITAS</v>
          </cell>
          <cell r="J209">
            <v>5946005</v>
          </cell>
          <cell r="K209">
            <v>0</v>
          </cell>
          <cell r="L209">
            <v>5946005</v>
          </cell>
          <cell r="M209">
            <v>1372155</v>
          </cell>
          <cell r="N209">
            <v>4573850</v>
          </cell>
        </row>
        <row r="210">
          <cell r="A210">
            <v>395</v>
          </cell>
          <cell r="B210">
            <v>554</v>
          </cell>
          <cell r="C210">
            <v>43133</v>
          </cell>
          <cell r="D210" t="str">
            <v>BLANCA CECILIA TORRES RISCANEVO</v>
          </cell>
          <cell r="E210">
            <v>31</v>
          </cell>
          <cell r="F210" t="str">
            <v>RESOLUCION</v>
          </cell>
          <cell r="G210">
            <v>225</v>
          </cell>
          <cell r="H210">
            <v>43133</v>
          </cell>
          <cell r="I210" t="str">
            <v>AYUDA TEMPORAL A LAS FAMILIAS DE VARIAS LOCALIDADES, PARA RELOCALIZACIÓN DE HOGARES LOCALIZADOS EN ZONAS DE ALTO RIESGO NO MITIGABLE ID:2016-08-14882, LOCALIDAD:08 KENNEDY, UPZ:82 PATIO BONITO, SECTOR:PALMITAS</v>
          </cell>
          <cell r="J210">
            <v>6019776</v>
          </cell>
          <cell r="K210">
            <v>0</v>
          </cell>
          <cell r="L210">
            <v>6019776</v>
          </cell>
          <cell r="M210">
            <v>1504944</v>
          </cell>
          <cell r="N210">
            <v>4514832</v>
          </cell>
        </row>
        <row r="211">
          <cell r="A211">
            <v>395</v>
          </cell>
          <cell r="B211">
            <v>555</v>
          </cell>
          <cell r="C211">
            <v>43133</v>
          </cell>
          <cell r="D211" t="str">
            <v>JOSE DANILO CIFUENTES</v>
          </cell>
          <cell r="E211">
            <v>31</v>
          </cell>
          <cell r="F211" t="str">
            <v>RESOLUCION</v>
          </cell>
          <cell r="G211">
            <v>226</v>
          </cell>
          <cell r="H211">
            <v>43133</v>
          </cell>
          <cell r="I211" t="str">
            <v>AYUDA TEMPORAL A LAS FAMILIAS DE VARIAS LOCALIDADES, PARA RELOCALIZACIÓN DE HOGARES LOCALIZADOS EN ZONAS DE ALTO RIESGO NO MITIGABLE ID:2012-19-13911, LOCALIDAD:19 CIUDAD BOLÍVAR, UPZ:67 LUCERO</v>
          </cell>
          <cell r="J211">
            <v>2582006</v>
          </cell>
          <cell r="K211">
            <v>0</v>
          </cell>
          <cell r="L211">
            <v>2582006</v>
          </cell>
          <cell r="M211">
            <v>1475432</v>
          </cell>
          <cell r="N211">
            <v>1106574</v>
          </cell>
        </row>
        <row r="212">
          <cell r="A212">
            <v>395</v>
          </cell>
          <cell r="B212">
            <v>556</v>
          </cell>
          <cell r="C212">
            <v>43133</v>
          </cell>
          <cell r="D212" t="str">
            <v>JUAN CRISOSTOMO MACETO RAYO</v>
          </cell>
          <cell r="E212">
            <v>31</v>
          </cell>
          <cell r="F212" t="str">
            <v>RESOLUCION</v>
          </cell>
          <cell r="G212">
            <v>227</v>
          </cell>
          <cell r="H212">
            <v>43133</v>
          </cell>
          <cell r="I212" t="str">
            <v>AYUDA TEMPORAL A LAS FAMILIAS DE VARIAS LOCALIDADES, PARA RELOCALIZACIÓN DE HOGARES LOCALIZADOS EN ZONAS DE ALTO RIESGO NO MITIGABLE ID:2015-D227-00022, LOCALIDAD:04 SAN CRISTÓBAL, UPZ:51 LOS LIBERTADORES, SECTOR:SANTA TERESITA</v>
          </cell>
          <cell r="J212">
            <v>2661239</v>
          </cell>
          <cell r="K212">
            <v>0</v>
          </cell>
          <cell r="L212">
            <v>2661239</v>
          </cell>
          <cell r="M212">
            <v>1520708</v>
          </cell>
          <cell r="N212">
            <v>1140531</v>
          </cell>
        </row>
        <row r="213">
          <cell r="A213">
            <v>395</v>
          </cell>
          <cell r="B213">
            <v>557</v>
          </cell>
          <cell r="C213">
            <v>43133</v>
          </cell>
          <cell r="D213" t="str">
            <v>ORFA MARIA MURCIA GUZMAN</v>
          </cell>
          <cell r="E213">
            <v>31</v>
          </cell>
          <cell r="F213" t="str">
            <v>RESOLUCION</v>
          </cell>
          <cell r="G213">
            <v>228</v>
          </cell>
          <cell r="H213">
            <v>43133</v>
          </cell>
          <cell r="I213" t="str">
            <v>AYUDA TEMPORAL A LAS FAMILIAS DE VARIAS LOCALIDADES, PARA RELOCALIZACIÓN DE HOGARES LOCALIZADOS EN ZONAS DE ALTO RIESGO NO MITIGABLE ID:2013-Q21-00634, LOCALIDAD:19 CIUDAD BOLÍVAR, UPZ:67 LUCERO, SECTOR:BRAZO DERECHO DE LIMAS</v>
          </cell>
          <cell r="J213">
            <v>2390202</v>
          </cell>
          <cell r="K213">
            <v>0</v>
          </cell>
          <cell r="L213">
            <v>2390202</v>
          </cell>
          <cell r="M213">
            <v>1195101</v>
          </cell>
          <cell r="N213">
            <v>1195101</v>
          </cell>
        </row>
        <row r="214">
          <cell r="A214">
            <v>395</v>
          </cell>
          <cell r="B214">
            <v>558</v>
          </cell>
          <cell r="C214">
            <v>43133</v>
          </cell>
          <cell r="D214" t="str">
            <v>DIEGO FERNANDO MORENO CRUZ</v>
          </cell>
          <cell r="E214">
            <v>31</v>
          </cell>
          <cell r="F214" t="str">
            <v>RESOLUCION</v>
          </cell>
          <cell r="G214">
            <v>229</v>
          </cell>
          <cell r="H214">
            <v>43102</v>
          </cell>
          <cell r="I214" t="str">
            <v>AYUDA TEMPORAL A LAS FAMILIAS DE VARIAS LOCALIDADES, PARA RELOCALIZACIÓN DE HOGARES LOCALIZADOS EN ZONAS DE ALTO RIESGO NO MITIGABLE ID:2012-ALES-1, LOCALIDAD:19 CIUDAD BOLÍVAR, UPZ:69 ISMAEL PERDOMO, SECTOR:ALTOS DE LA ESTANCIA</v>
          </cell>
          <cell r="J214">
            <v>7000929</v>
          </cell>
          <cell r="K214">
            <v>0</v>
          </cell>
          <cell r="L214">
            <v>7000929</v>
          </cell>
          <cell r="M214">
            <v>2154132</v>
          </cell>
          <cell r="N214">
            <v>4846797</v>
          </cell>
        </row>
        <row r="215">
          <cell r="A215">
            <v>395</v>
          </cell>
          <cell r="B215">
            <v>559</v>
          </cell>
          <cell r="C215">
            <v>43133</v>
          </cell>
          <cell r="D215" t="str">
            <v>GINA CAROLINA CACERES MONTOYA</v>
          </cell>
          <cell r="E215">
            <v>31</v>
          </cell>
          <cell r="F215" t="str">
            <v>RESOLUCION</v>
          </cell>
          <cell r="G215">
            <v>230</v>
          </cell>
          <cell r="H215">
            <v>43133</v>
          </cell>
          <cell r="I215" t="str">
            <v>AYUDA TEMPORAL A LAS FAMILIAS DE VARIAS LOCALIDADES, PARA RELOCALIZACIÓN DE HOGARES LOCALIZADOS EN ZONAS DE ALTO RIESGO NO MITIGABLE ID:2005-18-7380, LOCALIDAD:18 RAFAEL URIBE URIBE, UPZ:55 DIANA TURBAY</v>
          </cell>
          <cell r="J215">
            <v>6246240</v>
          </cell>
          <cell r="K215">
            <v>0</v>
          </cell>
          <cell r="L215">
            <v>6246240</v>
          </cell>
          <cell r="M215">
            <v>1921920</v>
          </cell>
          <cell r="N215">
            <v>4324320</v>
          </cell>
        </row>
        <row r="216">
          <cell r="A216">
            <v>395</v>
          </cell>
          <cell r="B216">
            <v>560</v>
          </cell>
          <cell r="C216">
            <v>43133</v>
          </cell>
          <cell r="D216" t="str">
            <v>DARLEY  BERMUDEZ RODRIGUEZ</v>
          </cell>
          <cell r="E216">
            <v>31</v>
          </cell>
          <cell r="F216" t="str">
            <v>RESOLUCION</v>
          </cell>
          <cell r="G216">
            <v>231</v>
          </cell>
          <cell r="H216">
            <v>43133</v>
          </cell>
          <cell r="I216" t="str">
            <v>AYUDA TEMPORAL A LAS FAMILIAS DE VARIAS LOCALIDADES, PARA RELOCALIZACIÓN DE HOGARES LOCALIZADOS EN ZONAS DE ALTO RIESGO NO MITIGABLE ID:2012-19-13891, LOCALIDAD:19 CIUDAD BOLÍVAR, UPZ:67 LUCERO</v>
          </cell>
          <cell r="J216">
            <v>3360280</v>
          </cell>
          <cell r="K216">
            <v>0</v>
          </cell>
          <cell r="L216">
            <v>3360280</v>
          </cell>
          <cell r="M216">
            <v>1920160</v>
          </cell>
          <cell r="N216">
            <v>1440120</v>
          </cell>
        </row>
        <row r="217">
          <cell r="A217">
            <v>395</v>
          </cell>
          <cell r="B217">
            <v>561</v>
          </cell>
          <cell r="C217">
            <v>43133</v>
          </cell>
          <cell r="D217" t="str">
            <v>MARIEN EVELU COLORADO RODRIGUEZ</v>
          </cell>
          <cell r="E217">
            <v>31</v>
          </cell>
          <cell r="F217" t="str">
            <v>RESOLUCION</v>
          </cell>
          <cell r="G217">
            <v>232</v>
          </cell>
          <cell r="H217">
            <v>43133</v>
          </cell>
          <cell r="I217" t="str">
            <v>AYUDA TEMPORAL A LAS FAMILIAS DE VARIAS LOCALIDADES, PARA RELOCALIZACIÓN DE HOGARES LOCALIZADOS EN ZONAS DE ALTO RIESGO NO MITIGABLE ID:2016-08-14901, LOCALIDAD:08 KENNEDY, UPZ:82 PATIO BONITO, SECTOR:PALMITAS</v>
          </cell>
          <cell r="J217">
            <v>6713226</v>
          </cell>
          <cell r="K217">
            <v>0</v>
          </cell>
          <cell r="L217">
            <v>6713226</v>
          </cell>
          <cell r="M217">
            <v>2065608</v>
          </cell>
          <cell r="N217">
            <v>4647618</v>
          </cell>
        </row>
        <row r="218">
          <cell r="A218">
            <v>395</v>
          </cell>
          <cell r="B218">
            <v>562</v>
          </cell>
          <cell r="C218">
            <v>43133</v>
          </cell>
          <cell r="D218" t="str">
            <v>EDGAR HUMBERTO GUTIERREZ RAMIREZ</v>
          </cell>
          <cell r="E218">
            <v>31</v>
          </cell>
          <cell r="F218" t="str">
            <v>RESOLUCION</v>
          </cell>
          <cell r="G218">
            <v>233</v>
          </cell>
          <cell r="H218">
            <v>43133</v>
          </cell>
          <cell r="I218" t="str">
            <v>AYUDA TEMPORAL A LAS FAMILIAS DE VARIAS LOCALIDADES, PARA RELOCALIZACIÓN DE HOGARES LOCALIZADOS EN ZONAS DE ALTO RIESGO NO MITIGABLE ID:2015-W166-501, LOCALIDAD:03 SANTA FE, UPZ:95 LAS CRUCES, SECTOR:UITOTO</v>
          </cell>
          <cell r="J218">
            <v>7539090</v>
          </cell>
          <cell r="K218">
            <v>0</v>
          </cell>
          <cell r="L218">
            <v>7539090</v>
          </cell>
          <cell r="M218">
            <v>2319720</v>
          </cell>
          <cell r="N218">
            <v>5219370</v>
          </cell>
        </row>
        <row r="219">
          <cell r="A219">
            <v>395</v>
          </cell>
          <cell r="B219">
            <v>563</v>
          </cell>
          <cell r="C219">
            <v>43133</v>
          </cell>
          <cell r="D219" t="str">
            <v>JORGE MANUEL MARTINEZ ECHEVERRY</v>
          </cell>
          <cell r="E219">
            <v>31</v>
          </cell>
          <cell r="F219" t="str">
            <v>RESOLUCION</v>
          </cell>
          <cell r="G219">
            <v>234</v>
          </cell>
          <cell r="H219">
            <v>43133</v>
          </cell>
          <cell r="I219" t="str">
            <v>AYUDA TEMPORAL A LAS FAMILIAS DE VARIAS LOCALIDADES, PARA RELOCALIZACIÓN DE HOGARES LOCALIZADOS EN ZONAS DE ALTO RIESGO NO MITIGABLE ID:2017-08-14935, LOCALIDAD:08 KENNEDY, UPZ:82 PATIO BONITO, SECTOR:PALMITAS</v>
          </cell>
          <cell r="J219">
            <v>5178771</v>
          </cell>
          <cell r="K219">
            <v>4382037</v>
          </cell>
          <cell r="L219">
            <v>796734</v>
          </cell>
          <cell r="M219">
            <v>796734</v>
          </cell>
          <cell r="N219">
            <v>0</v>
          </cell>
        </row>
        <row r="220">
          <cell r="A220">
            <v>395</v>
          </cell>
          <cell r="B220">
            <v>564</v>
          </cell>
          <cell r="C220">
            <v>43133</v>
          </cell>
          <cell r="D220" t="str">
            <v>MARTIN ANTONIO ALVAREZ POSADA</v>
          </cell>
          <cell r="E220">
            <v>31</v>
          </cell>
          <cell r="F220" t="str">
            <v>RESOLUCION</v>
          </cell>
          <cell r="G220">
            <v>235</v>
          </cell>
          <cell r="H220">
            <v>43133</v>
          </cell>
          <cell r="I220" t="str">
            <v>AYUDA TEMPORAL A LAS FAMILIAS DE VARIAS LOCALIDADES, PARA RELOCALIZACIÓN DE HOGARES LOCALIZADOS EN ZONAS DE ALTO RIESGO NO MITIGABLE ID:2016-08-14873, LOCALIDAD:08 KENNEDY, UPZ:82 PATIO BONITO, SECTOR:PALMITAS</v>
          </cell>
          <cell r="J220">
            <v>6233708</v>
          </cell>
          <cell r="K220">
            <v>0</v>
          </cell>
          <cell r="L220">
            <v>6233708</v>
          </cell>
          <cell r="M220">
            <v>959032</v>
          </cell>
          <cell r="N220">
            <v>5274676</v>
          </cell>
        </row>
        <row r="221">
          <cell r="A221">
            <v>395</v>
          </cell>
          <cell r="B221">
            <v>565</v>
          </cell>
          <cell r="C221">
            <v>43133</v>
          </cell>
          <cell r="D221" t="str">
            <v>MARLEN ROCIO BELLO SUAREZ</v>
          </cell>
          <cell r="E221">
            <v>31</v>
          </cell>
          <cell r="F221" t="str">
            <v>RESOLUCION</v>
          </cell>
          <cell r="G221">
            <v>236</v>
          </cell>
          <cell r="H221">
            <v>43133</v>
          </cell>
          <cell r="I221" t="str">
            <v>AYUDA TEMPORAL A LAS FAMILIAS DE VARIAS LOCALIDADES, PARA RELOCALIZACIÓN DE HOGARES LOCALIZADOS EN ZONAS DE ALTO RIESGO NO MITIGABLE ID:2015-OTR-01379, LOCALIDAD:11 SUBA, UPZ:71 TIBABUYES, SECTOR:GAVILANES</v>
          </cell>
          <cell r="J221">
            <v>4521244</v>
          </cell>
          <cell r="K221">
            <v>0</v>
          </cell>
          <cell r="L221">
            <v>4521244</v>
          </cell>
          <cell r="M221">
            <v>1391152</v>
          </cell>
          <cell r="N221">
            <v>3130092</v>
          </cell>
        </row>
        <row r="222">
          <cell r="A222">
            <v>395</v>
          </cell>
          <cell r="B222">
            <v>566</v>
          </cell>
          <cell r="C222">
            <v>43133</v>
          </cell>
          <cell r="D222" t="str">
            <v>RICARDO  BONILLA HERNANDEZ</v>
          </cell>
          <cell r="E222">
            <v>31</v>
          </cell>
          <cell r="F222" t="str">
            <v>RESOLUCION</v>
          </cell>
          <cell r="G222">
            <v>237</v>
          </cell>
          <cell r="H222">
            <v>43133</v>
          </cell>
          <cell r="I222" t="str">
            <v>AYUDA TEMPORAL A LAS FAMILIAS DE VARIAS LOCALIDADES, PARA RELOCALIZACIÓN DE HOGARES LOCALIZADOS EN ZONAS DE ALTO RIESGO NO MITIGABLE ID:2013-Q10-00585, LOCALIDAD:04 SAN CRISTÓBAL, UPZ:51 LOS LIBERTADORES, SECTOR:QUEBRADA VEREJONES</v>
          </cell>
          <cell r="J222">
            <v>6274034</v>
          </cell>
          <cell r="K222">
            <v>0</v>
          </cell>
          <cell r="L222">
            <v>6274034</v>
          </cell>
          <cell r="M222">
            <v>1930472</v>
          </cell>
          <cell r="N222">
            <v>4343562</v>
          </cell>
        </row>
        <row r="223">
          <cell r="A223">
            <v>395</v>
          </cell>
          <cell r="B223">
            <v>567</v>
          </cell>
          <cell r="C223">
            <v>43133</v>
          </cell>
          <cell r="D223" t="str">
            <v>LEONOR ESPERANZA PULIDO</v>
          </cell>
          <cell r="E223">
            <v>31</v>
          </cell>
          <cell r="F223" t="str">
            <v>RESOLUCION</v>
          </cell>
          <cell r="G223">
            <v>238</v>
          </cell>
          <cell r="H223">
            <v>43133</v>
          </cell>
          <cell r="I223" t="str">
            <v>AYUDA TEMPORAL A LAS FAMILIAS DE VARIAS LOCALIDADES, PARA RELOCALIZACIÓN DE HOGARES LOCALIZADOS EN ZONAS DE ALTO RIESGO NO MITIGABLE ID:2012-19-14018, LOCALIDAD:19 CIUDAD BOLÍVAR, UPZ:68 EL TESORO</v>
          </cell>
          <cell r="J223">
            <v>5430984</v>
          </cell>
          <cell r="K223">
            <v>0</v>
          </cell>
          <cell r="L223">
            <v>5430984</v>
          </cell>
          <cell r="M223">
            <v>1671072</v>
          </cell>
          <cell r="N223">
            <v>3759912</v>
          </cell>
        </row>
        <row r="224">
          <cell r="A224">
            <v>395</v>
          </cell>
          <cell r="B224">
            <v>568</v>
          </cell>
          <cell r="C224">
            <v>43133</v>
          </cell>
          <cell r="D224" t="str">
            <v>YAMEL ALBEIRO POSADA BEDOYA</v>
          </cell>
          <cell r="E224">
            <v>31</v>
          </cell>
          <cell r="F224" t="str">
            <v>RESOLUCION</v>
          </cell>
          <cell r="G224">
            <v>239</v>
          </cell>
          <cell r="H224">
            <v>43133</v>
          </cell>
          <cell r="I224" t="str">
            <v>AYUDA TEMPORAL A LAS FAMILIAS DE VARIAS LOCALIDADES, PARA RELOCALIZACIÓN DE HOGARES LOCALIZADOS EN ZONAS DE ALTO RIESGO NO MITIGABLE ID:2016-08-14898, LOCALIDAD:08 KENNEDY, UPZ:82 PATIO BONITO, SECTOR:PALMITAS</v>
          </cell>
          <cell r="J224">
            <v>5466487</v>
          </cell>
          <cell r="K224">
            <v>0</v>
          </cell>
          <cell r="L224">
            <v>5466487</v>
          </cell>
          <cell r="M224">
            <v>1681996</v>
          </cell>
          <cell r="N224">
            <v>3784491</v>
          </cell>
        </row>
        <row r="225">
          <cell r="A225">
            <v>395</v>
          </cell>
          <cell r="B225">
            <v>569</v>
          </cell>
          <cell r="C225">
            <v>43133</v>
          </cell>
          <cell r="D225" t="str">
            <v>MARTHA LUCIA LEON VEGA</v>
          </cell>
          <cell r="E225">
            <v>31</v>
          </cell>
          <cell r="F225" t="str">
            <v>RESOLUCION</v>
          </cell>
          <cell r="G225">
            <v>240</v>
          </cell>
          <cell r="H225">
            <v>43133</v>
          </cell>
          <cell r="I225" t="str">
            <v>AYUDA TEMPORAL A LAS FAMILIAS DE VARIAS LOCALIDADES, PARA RELOCALIZACIÓN DE HOGARES LOCALIZADOS EN ZONAS DE ALTO RIESGO NO MITIGABLE ID:2016-OTR-01555, LOCALIDAD:04 SAN CRISTÓBAL, UPZ:51 LOS LIBERTADORES</v>
          </cell>
          <cell r="J225">
            <v>5556993</v>
          </cell>
          <cell r="K225">
            <v>0</v>
          </cell>
          <cell r="L225">
            <v>5556993</v>
          </cell>
          <cell r="M225">
            <v>1709844</v>
          </cell>
          <cell r="N225">
            <v>3847149</v>
          </cell>
        </row>
        <row r="226">
          <cell r="A226">
            <v>395</v>
          </cell>
          <cell r="B226">
            <v>570</v>
          </cell>
          <cell r="C226">
            <v>43133</v>
          </cell>
          <cell r="D226" t="str">
            <v>YEYMI ALEJANDRA POVEDA POSADA</v>
          </cell>
          <cell r="E226">
            <v>31</v>
          </cell>
          <cell r="F226" t="str">
            <v>RESOLUCION</v>
          </cell>
          <cell r="G226">
            <v>241</v>
          </cell>
          <cell r="H226">
            <v>43133</v>
          </cell>
          <cell r="I226" t="str">
            <v>AYUDA TEMPORAL A LAS FAMILIAS DE VARIAS LOCALIDADES, PARA RELOCALIZACIÓN DE HOGARES LOCALIZADOS EN ZONAS DE ALTO RIESGO NO MITIGABLE ID:2016-08-14776, LOCALIDAD:08 KENNEDY, UPZ:82 PATIO BONITO, SECTOR:PALMITAS</v>
          </cell>
          <cell r="J226">
            <v>6521424</v>
          </cell>
          <cell r="K226">
            <v>0</v>
          </cell>
          <cell r="L226">
            <v>6521424</v>
          </cell>
          <cell r="M226">
            <v>2006592</v>
          </cell>
          <cell r="N226">
            <v>4514832</v>
          </cell>
        </row>
        <row r="227">
          <cell r="A227">
            <v>395</v>
          </cell>
          <cell r="B227">
            <v>571</v>
          </cell>
          <cell r="C227">
            <v>43133</v>
          </cell>
          <cell r="D227" t="str">
            <v>SILVANO  CABEZON MERCAZA</v>
          </cell>
          <cell r="E227">
            <v>31</v>
          </cell>
          <cell r="F227" t="str">
            <v>RESOLUCION</v>
          </cell>
          <cell r="G227">
            <v>242</v>
          </cell>
          <cell r="H227">
            <v>43133</v>
          </cell>
          <cell r="I227" t="str">
            <v>AYUDA TEMPORAL A LAS FAMILIAS DE VARIAS LOCALIDADES, PARA RELOCALIZACIÓN DE HOGARES LOCALIZADOS EN ZONAS DE ALTO RIESGO NO MITIGABLE ID:2015-W166-530, LOCALIDAD:19 CIUDAD BOLÍVAR, UPZ:67 LUCERO, SECTOR:WOUNAAN</v>
          </cell>
          <cell r="J227">
            <v>5360745</v>
          </cell>
          <cell r="K227">
            <v>0</v>
          </cell>
          <cell r="L227">
            <v>5360745</v>
          </cell>
          <cell r="M227">
            <v>1649460</v>
          </cell>
          <cell r="N227">
            <v>3711285</v>
          </cell>
        </row>
        <row r="228">
          <cell r="A228">
            <v>395</v>
          </cell>
          <cell r="B228">
            <v>572</v>
          </cell>
          <cell r="C228">
            <v>43133</v>
          </cell>
          <cell r="D228" t="str">
            <v>ROSA ELIDA VERA GUEPENDO</v>
          </cell>
          <cell r="E228">
            <v>31</v>
          </cell>
          <cell r="F228" t="str">
            <v>RESOLUCION</v>
          </cell>
          <cell r="G228">
            <v>243</v>
          </cell>
          <cell r="H228">
            <v>43133</v>
          </cell>
          <cell r="I228" t="str">
            <v>AYUDA TEMPORAL A LAS FAMILIAS DE VARIAS LOCALIDADES, PARA RELOCALIZACIÓN DE HOGARES LOCALIZADOS EN ZONAS DE ALTO RIESGO NO MITIGABLE ID:2013000477, LOCALIDAD:04 SAN CRISTÓBAL, UPZ:51 LOS LIBERTADORES, SECTOR:QUEBRADA VEREJONES</v>
          </cell>
          <cell r="J228">
            <v>5178771</v>
          </cell>
          <cell r="K228">
            <v>0</v>
          </cell>
          <cell r="L228">
            <v>5178771</v>
          </cell>
          <cell r="M228">
            <v>1593468</v>
          </cell>
          <cell r="N228">
            <v>3585303</v>
          </cell>
        </row>
        <row r="229">
          <cell r="A229">
            <v>395</v>
          </cell>
          <cell r="B229">
            <v>573</v>
          </cell>
          <cell r="C229">
            <v>43133</v>
          </cell>
          <cell r="D229" t="str">
            <v>LUZ ADRIANA POSADA BEDOYA</v>
          </cell>
          <cell r="E229">
            <v>31</v>
          </cell>
          <cell r="F229" t="str">
            <v>RESOLUCION</v>
          </cell>
          <cell r="G229">
            <v>244</v>
          </cell>
          <cell r="H229">
            <v>43133</v>
          </cell>
          <cell r="I229" t="str">
            <v>AYUDA TEMPORAL A LAS FAMILIAS DE VARIAS LOCALIDADES, PARA RELOCALIZACIÓN DE HOGARES LOCALIZADOS EN ZONAS DE ALTO RIESGO NO MITIGABLE ID:2016-08-14825, LOCALIDAD:08 KENNEDY, UPZ:82 PATIO BONITO, SECTOR:PALMITAS</v>
          </cell>
          <cell r="J229">
            <v>5754190</v>
          </cell>
          <cell r="K229">
            <v>0</v>
          </cell>
          <cell r="L229">
            <v>5754190</v>
          </cell>
          <cell r="M229">
            <v>1770520</v>
          </cell>
          <cell r="N229">
            <v>3983670</v>
          </cell>
        </row>
        <row r="230">
          <cell r="A230">
            <v>395</v>
          </cell>
          <cell r="B230">
            <v>574</v>
          </cell>
          <cell r="C230">
            <v>43133</v>
          </cell>
          <cell r="D230" t="str">
            <v>MANUEL  CISNEROS CASTILLO</v>
          </cell>
          <cell r="E230">
            <v>31</v>
          </cell>
          <cell r="F230" t="str">
            <v>RESOLUCION</v>
          </cell>
          <cell r="G230">
            <v>245</v>
          </cell>
          <cell r="H230">
            <v>43133</v>
          </cell>
          <cell r="I230" t="str">
            <v>AYUDA TEMPORAL A LAS FAMILIAS DE VARIAS LOCALIDADES, PARA RELOCALIZACIÓN DE HOGARES LOCALIZADOS EN ZONAS DE ALTO RIESGO NO MITIGABLE ID:2016-08-14782, LOCALIDAD:08 KENNEDY, UPZ:82 PATIO BONITO, SECTOR:PALMITAS</v>
          </cell>
          <cell r="J230">
            <v>6722183</v>
          </cell>
          <cell r="K230">
            <v>0</v>
          </cell>
          <cell r="L230">
            <v>6722183</v>
          </cell>
          <cell r="M230">
            <v>2068364</v>
          </cell>
          <cell r="N230">
            <v>4653819</v>
          </cell>
        </row>
        <row r="231">
          <cell r="A231">
            <v>395</v>
          </cell>
          <cell r="B231">
            <v>575</v>
          </cell>
          <cell r="C231">
            <v>43133</v>
          </cell>
          <cell r="D231" t="str">
            <v>MARIA CAROLINA CAGUA YATE</v>
          </cell>
          <cell r="E231">
            <v>31</v>
          </cell>
          <cell r="F231" t="str">
            <v>RESOLUCION</v>
          </cell>
          <cell r="G231">
            <v>246</v>
          </cell>
          <cell r="H231">
            <v>43133</v>
          </cell>
          <cell r="I231" t="str">
            <v>AYUDA TEMPORAL A LAS FAMILIAS DE VARIAS LOCALIDADES, PARA RELOCALIZACIÓN DE HOGARES LOCALIZADOS EN ZONAS DE ALTO RIESGO NO MITIGABLE ID:2016-08-14820, LOCALIDAD:08 KENNEDY, UPZ:82 PATIO BONITO, SECTOR:PALMITAS</v>
          </cell>
          <cell r="J231">
            <v>5466487</v>
          </cell>
          <cell r="K231">
            <v>0</v>
          </cell>
          <cell r="L231">
            <v>5466487</v>
          </cell>
          <cell r="M231">
            <v>1681996</v>
          </cell>
          <cell r="N231">
            <v>3784491</v>
          </cell>
        </row>
        <row r="232">
          <cell r="A232">
            <v>395</v>
          </cell>
          <cell r="B232">
            <v>576</v>
          </cell>
          <cell r="C232">
            <v>43133</v>
          </cell>
          <cell r="D232" t="str">
            <v>GIOVANA PAOLA BARBOSA NOGUERA</v>
          </cell>
          <cell r="E232">
            <v>31</v>
          </cell>
          <cell r="F232" t="str">
            <v>RESOLUCION</v>
          </cell>
          <cell r="G232">
            <v>247</v>
          </cell>
          <cell r="H232">
            <v>43133</v>
          </cell>
          <cell r="I232" t="str">
            <v>AYUDA TEMPORAL A LAS FAMILIAS DE VARIAS LOCALIDADES, PARA RELOCALIZACIÓN DE HOGARES LOCALIZADOS EN ZONAS DE ALTO RIESGO NO MITIGABLE ID:2010-19-11893, LOCALIDAD:19 CIUDAD BOLÍVAR, UPZ:68 EL TESORO, SECTOR:OLA INVERNAL 2010 FOPAE</v>
          </cell>
          <cell r="J232">
            <v>3769731</v>
          </cell>
          <cell r="K232">
            <v>0</v>
          </cell>
          <cell r="L232">
            <v>3769731</v>
          </cell>
          <cell r="M232">
            <v>2154132</v>
          </cell>
          <cell r="N232">
            <v>1615599</v>
          </cell>
        </row>
        <row r="233">
          <cell r="A233">
            <v>395</v>
          </cell>
          <cell r="B233">
            <v>577</v>
          </cell>
          <cell r="C233">
            <v>43133</v>
          </cell>
          <cell r="D233" t="str">
            <v>ADONAI  MOLANO MENDOZA</v>
          </cell>
          <cell r="E233">
            <v>31</v>
          </cell>
          <cell r="F233" t="str">
            <v>RESOLUCION</v>
          </cell>
          <cell r="G233">
            <v>248</v>
          </cell>
          <cell r="H233">
            <v>43133</v>
          </cell>
          <cell r="I233" t="str">
            <v>AYUDA TEMPORAL A LAS FAMILIAS DE VARIAS LOCALIDADES, PARA RELOCALIZACIÓN DE HOGARES LOCALIZADOS EN ZONAS DE ALTO RIESGO NO MITIGABLE ID:2007-4-10136, LOCALIDAD:04 SAN CRISTÓBAL, UPZ:32 SAN BLAS</v>
          </cell>
          <cell r="J233">
            <v>3459890</v>
          </cell>
          <cell r="K233">
            <v>0</v>
          </cell>
          <cell r="L233">
            <v>3459890</v>
          </cell>
          <cell r="M233">
            <v>1482810</v>
          </cell>
          <cell r="N233">
            <v>1977080</v>
          </cell>
        </row>
        <row r="234">
          <cell r="A234">
            <v>395</v>
          </cell>
          <cell r="B234">
            <v>578</v>
          </cell>
          <cell r="C234">
            <v>43133</v>
          </cell>
          <cell r="D234" t="str">
            <v>ADELINA  ISMARE CONQUISTA</v>
          </cell>
          <cell r="E234">
            <v>31</v>
          </cell>
          <cell r="F234" t="str">
            <v>RESOLUCION</v>
          </cell>
          <cell r="G234">
            <v>249</v>
          </cell>
          <cell r="H234">
            <v>43133</v>
          </cell>
          <cell r="I234" t="str">
            <v>AYUDA TEMPORAL A LAS FAMILIAS DE VARIAS LOCALIDADES, PARA RELOCALIZACIÓN DE HOGARES LOCALIZADOS EN ZONAS DE ALTO RIESGO NO MITIGABLE ID:2014-W166-015, LOCALIDAD:19 CIUDAD BOLÍVAR, UPZ:68 EL TESORO, SECTOR:WOUNAAN</v>
          </cell>
          <cell r="J234">
            <v>5946005</v>
          </cell>
          <cell r="K234">
            <v>0</v>
          </cell>
          <cell r="L234">
            <v>5946005</v>
          </cell>
          <cell r="M234">
            <v>1829540</v>
          </cell>
          <cell r="N234">
            <v>4116465</v>
          </cell>
        </row>
        <row r="235">
          <cell r="A235">
            <v>395</v>
          </cell>
          <cell r="B235">
            <v>579</v>
          </cell>
          <cell r="C235">
            <v>43133</v>
          </cell>
          <cell r="D235" t="str">
            <v>BLANCA ELUBIDIA ZUÑIGA MENESES</v>
          </cell>
          <cell r="E235">
            <v>31</v>
          </cell>
          <cell r="F235" t="str">
            <v>RESOLUCION</v>
          </cell>
          <cell r="G235">
            <v>170</v>
          </cell>
          <cell r="H235">
            <v>43133</v>
          </cell>
          <cell r="I235" t="str">
            <v>AYUDA TEMPORAL A LAS FAMILIAS DE VARIAS LOCALIDADES, PARA RELOCALIZACIÓN DE HOGARES LOCALIZADOS EN ZONAS DE ALTO RIESGO NO MITIGABLE ID:2012-ALES-355, LOCALIDAD:19 CIUDAD BOLÍVAR, UPZ:69 ISMAEL PERDOMO</v>
          </cell>
          <cell r="J235">
            <v>3218670</v>
          </cell>
          <cell r="K235">
            <v>0</v>
          </cell>
          <cell r="L235">
            <v>3218670</v>
          </cell>
          <cell r="M235">
            <v>1839240</v>
          </cell>
          <cell r="N235">
            <v>1379430</v>
          </cell>
        </row>
        <row r="236">
          <cell r="A236">
            <v>395</v>
          </cell>
          <cell r="B236">
            <v>580</v>
          </cell>
          <cell r="C236">
            <v>43133</v>
          </cell>
          <cell r="D236" t="str">
            <v>FRANCY YAMILE NIÑO GARCIA</v>
          </cell>
          <cell r="E236">
            <v>31</v>
          </cell>
          <cell r="F236" t="str">
            <v>RESOLUCION</v>
          </cell>
          <cell r="G236">
            <v>171</v>
          </cell>
          <cell r="H236">
            <v>43133</v>
          </cell>
          <cell r="I236" t="str">
            <v>AYUDA TEMPORAL A LAS FAMILIAS DE VARIAS LOCALIDADES, PARA RELOCALIZACIÓN DE HOGARES LOCALIZADOS EN ZONAS DE ALTO RIESGO NO MITIGABLE ID:2014-5-14735, LOCALIDAD:05 USME, UPZ:57 GRAN YOMASA</v>
          </cell>
          <cell r="J236">
            <v>3038112</v>
          </cell>
          <cell r="K236">
            <v>0</v>
          </cell>
          <cell r="L236">
            <v>3038112</v>
          </cell>
          <cell r="M236">
            <v>1736064</v>
          </cell>
          <cell r="N236">
            <v>1302048</v>
          </cell>
        </row>
        <row r="237">
          <cell r="A237">
            <v>395</v>
          </cell>
          <cell r="B237">
            <v>581</v>
          </cell>
          <cell r="C237">
            <v>43133</v>
          </cell>
          <cell r="D237" t="str">
            <v>SANDRA VIVIANA CIFUENTES RODRIGUEZ</v>
          </cell>
          <cell r="E237">
            <v>31</v>
          </cell>
          <cell r="F237" t="str">
            <v>RESOLUCION</v>
          </cell>
          <cell r="G237">
            <v>172</v>
          </cell>
          <cell r="H237">
            <v>43133</v>
          </cell>
          <cell r="I237" t="str">
            <v>AYUDA TEMPORAL A LAS FAMILIAS DE VARIAS LOCALIDADES, PARA RELOCALIZACIÓN DE HOGARES LOCALIZADOS EN ZONAS DE ALTO RIESGO NO MITIGABLE ID:2016-08-14861, LOCALIDAD:08 KENNEDY, UPZ:82 PATIO BONITO, SECTOR:PALMITAS</v>
          </cell>
          <cell r="J237">
            <v>4660708</v>
          </cell>
          <cell r="K237">
            <v>0</v>
          </cell>
          <cell r="L237">
            <v>4660708</v>
          </cell>
          <cell r="M237">
            <v>1434064</v>
          </cell>
          <cell r="N237">
            <v>3226644</v>
          </cell>
        </row>
        <row r="238">
          <cell r="A238">
            <v>395</v>
          </cell>
          <cell r="B238">
            <v>582</v>
          </cell>
          <cell r="C238">
            <v>43133</v>
          </cell>
          <cell r="D238" t="str">
            <v>SANDRA MILENA OVALLE VELASQUEZ</v>
          </cell>
          <cell r="E238">
            <v>31</v>
          </cell>
          <cell r="F238" t="str">
            <v>RESOLUCION</v>
          </cell>
          <cell r="G238">
            <v>173</v>
          </cell>
          <cell r="H238">
            <v>43133</v>
          </cell>
          <cell r="I238" t="str">
            <v>AYUDA TEMPORAL A LAS FAMILIAS DE VARIAS LOCALIDADES, PARA RELOCALIZACIÓN DE HOGARES LOCALIZADOS EN ZONAS DE ALTO RIESGO NO MITIGABLE ID:2006-19-8078, LOCALIDAD:19 CIUDAD BOLÍVAR, UPZ:67 LUCERO</v>
          </cell>
          <cell r="J238">
            <v>3111969</v>
          </cell>
          <cell r="K238">
            <v>0</v>
          </cell>
          <cell r="L238">
            <v>3111969</v>
          </cell>
          <cell r="M238">
            <v>1778268</v>
          </cell>
          <cell r="N238">
            <v>1333701</v>
          </cell>
        </row>
        <row r="239">
          <cell r="A239">
            <v>395</v>
          </cell>
          <cell r="B239">
            <v>583</v>
          </cell>
          <cell r="C239">
            <v>43133</v>
          </cell>
          <cell r="D239" t="str">
            <v>JOSE ALBERTO GIRALDO SANCHEZ</v>
          </cell>
          <cell r="E239">
            <v>31</v>
          </cell>
          <cell r="F239" t="str">
            <v>RESOLUCION</v>
          </cell>
          <cell r="G239">
            <v>174</v>
          </cell>
          <cell r="H239">
            <v>43133</v>
          </cell>
          <cell r="I239" t="str">
            <v>AYUDA TEMPORAL A LAS FAMILIAS DE VARIAS LOCALIDADES, PARA RELOCALIZACIÓN DE HOGARES LOCALIZADOS EN ZONAS DE ALTO RIESGO NO MITIGABLE ID:2015-W166-503, LOCALIDAD:03 SANTA FE, UPZ:95 LAS CRUCES, SECTOR:UITOTO</v>
          </cell>
          <cell r="J239">
            <v>6868797</v>
          </cell>
          <cell r="K239">
            <v>0</v>
          </cell>
          <cell r="L239">
            <v>6868797</v>
          </cell>
          <cell r="M239">
            <v>2113476</v>
          </cell>
          <cell r="N239">
            <v>4755321</v>
          </cell>
        </row>
        <row r="240">
          <cell r="A240">
            <v>395</v>
          </cell>
          <cell r="B240">
            <v>584</v>
          </cell>
          <cell r="C240">
            <v>43133</v>
          </cell>
          <cell r="D240" t="str">
            <v>CLAUDIA ISABEL CELY BARAJAS</v>
          </cell>
          <cell r="E240">
            <v>31</v>
          </cell>
          <cell r="F240" t="str">
            <v>RESOLUCION</v>
          </cell>
          <cell r="G240">
            <v>175</v>
          </cell>
          <cell r="H240">
            <v>43133</v>
          </cell>
          <cell r="I240" t="str">
            <v>AYUDA TEMPORAL A LAS FAMILIAS DE VARIAS LOCALIDADES, PARA RELOCALIZACIÓN DE HOGARES LOCALIZADOS EN ZONAS DE ALTO RIESGO NO MITIGABLE ID:2013000017, LOCALIDAD:19 CIUDAD BOLÍVAR, UPZ:67 LUCERO, SECTOR:QUEBRADA CAÑO BAÚL</v>
          </cell>
          <cell r="J240">
            <v>3017000</v>
          </cell>
          <cell r="K240">
            <v>0</v>
          </cell>
          <cell r="L240">
            <v>3017000</v>
          </cell>
          <cell r="M240">
            <v>1724000</v>
          </cell>
          <cell r="N240">
            <v>1293000</v>
          </cell>
        </row>
        <row r="241">
          <cell r="A241">
            <v>395</v>
          </cell>
          <cell r="B241">
            <v>585</v>
          </cell>
          <cell r="C241">
            <v>43133</v>
          </cell>
          <cell r="D241" t="str">
            <v>JOSE MODESTO HERNANDEZ MORENO</v>
          </cell>
          <cell r="E241">
            <v>31</v>
          </cell>
          <cell r="F241" t="str">
            <v>RESOLUCION</v>
          </cell>
          <cell r="G241">
            <v>176</v>
          </cell>
          <cell r="H241">
            <v>43133</v>
          </cell>
          <cell r="I241" t="str">
            <v>AYUDA TEMPORAL A LAS FAMILIAS DE VARIAS LOCALIDADES, PARA RELOCALIZACIÓN DE HOGARES LOCALIZADOS EN ZONAS DE ALTO RIESGO NO MITIGABLE ID:2011-19-13514, LOCALIDAD:19 CIUDAD BOLÍVAR, UPZ:68 EL TESORO</v>
          </cell>
          <cell r="J241">
            <v>2924376</v>
          </cell>
          <cell r="K241">
            <v>0</v>
          </cell>
          <cell r="L241">
            <v>2924376</v>
          </cell>
          <cell r="M241">
            <v>1671072</v>
          </cell>
          <cell r="N241">
            <v>1253304</v>
          </cell>
        </row>
        <row r="242">
          <cell r="A242">
            <v>395</v>
          </cell>
          <cell r="B242">
            <v>586</v>
          </cell>
          <cell r="C242">
            <v>43133</v>
          </cell>
          <cell r="D242" t="str">
            <v>GRACILIANA  AVILA PITA</v>
          </cell>
          <cell r="E242">
            <v>31</v>
          </cell>
          <cell r="F242" t="str">
            <v>RESOLUCION</v>
          </cell>
          <cell r="G242">
            <v>177</v>
          </cell>
          <cell r="H242">
            <v>43133</v>
          </cell>
          <cell r="I242" t="str">
            <v>AYUDA TEMPORAL A LAS FAMILIAS DE VARIAS LOCALIDADES, PARA RELOCALIZACIÓN DE HOGARES LOCALIZADOS EN ZONAS DE ALTO RIESGO NO MITIGABLE ID:2011-18-13622, LOCALIDAD:18 RAFAEL URIBE URIBE, UPZ:55 DIANA TURBAY</v>
          </cell>
          <cell r="J242">
            <v>3017028</v>
          </cell>
          <cell r="K242">
            <v>0</v>
          </cell>
          <cell r="L242">
            <v>3017028</v>
          </cell>
          <cell r="M242">
            <v>862008</v>
          </cell>
          <cell r="N242">
            <v>2155020</v>
          </cell>
        </row>
        <row r="243">
          <cell r="A243">
            <v>395</v>
          </cell>
          <cell r="B243">
            <v>587</v>
          </cell>
          <cell r="C243">
            <v>43133</v>
          </cell>
          <cell r="D243" t="str">
            <v>MARIA MIRNA PUAMA MEMBACHE</v>
          </cell>
          <cell r="E243">
            <v>31</v>
          </cell>
          <cell r="F243" t="str">
            <v>RESOLUCION</v>
          </cell>
          <cell r="G243">
            <v>178</v>
          </cell>
          <cell r="H243">
            <v>43133</v>
          </cell>
          <cell r="I243" t="str">
            <v>AYUDA TEMPORAL A LAS FAMILIAS DE VARIAS LOCALIDADES, PARA RELOCALIZACIÓN DE HOGARES LOCALIZADOS EN ZONAS DE ALTO RIESGO NO MITIGABLE ID:2015-W166-441, LOCALIDAD:19 CIUDAD BOLÍVAR, UPZ:67 LUCERO, SECTOR:WOUNAAN</v>
          </cell>
          <cell r="J243">
            <v>7036432</v>
          </cell>
          <cell r="K243">
            <v>0</v>
          </cell>
          <cell r="L243">
            <v>7036432</v>
          </cell>
          <cell r="M243">
            <v>2165056</v>
          </cell>
          <cell r="N243">
            <v>4871376</v>
          </cell>
        </row>
        <row r="244">
          <cell r="A244">
            <v>395</v>
          </cell>
          <cell r="B244">
            <v>588</v>
          </cell>
          <cell r="C244">
            <v>43133</v>
          </cell>
          <cell r="D244" t="str">
            <v>LUZ ISLENI CADENA SANCHEZ</v>
          </cell>
          <cell r="E244">
            <v>31</v>
          </cell>
          <cell r="F244" t="str">
            <v>RESOLUCION</v>
          </cell>
          <cell r="G244">
            <v>179</v>
          </cell>
          <cell r="H244">
            <v>43133</v>
          </cell>
          <cell r="I244" t="str">
            <v>AYUDA TEMPORAL A LAS FAMILIAS DE VARIAS LOCALIDADES, PARA RELOCALIZACIÓN DE HOGARES LOCALIZADOS EN ZONAS DE ALTO RIESGO NO MITIGABLE ID:2012-5-14150, LOCALIDAD:05 USME, UPZ:58 COMUNEROS</v>
          </cell>
          <cell r="J244">
            <v>2582006</v>
          </cell>
          <cell r="K244">
            <v>0</v>
          </cell>
          <cell r="L244">
            <v>2582006</v>
          </cell>
          <cell r="M244">
            <v>1475432</v>
          </cell>
          <cell r="N244">
            <v>1106574</v>
          </cell>
        </row>
        <row r="245">
          <cell r="A245">
            <v>395</v>
          </cell>
          <cell r="B245">
            <v>589</v>
          </cell>
          <cell r="C245">
            <v>43133</v>
          </cell>
          <cell r="D245" t="str">
            <v>ALEJANDRO  CUAMA CHIRIMIA</v>
          </cell>
          <cell r="E245">
            <v>31</v>
          </cell>
          <cell r="F245" t="str">
            <v>RESOLUCION</v>
          </cell>
          <cell r="G245">
            <v>180</v>
          </cell>
          <cell r="H245">
            <v>43133</v>
          </cell>
          <cell r="I245" t="str">
            <v>AYUDA TEMPORAL A LAS FAMILIAS DE VARIAS LOCALIDADES, PARA RELOCALIZACIÓN DE HOGARES LOCALIZADOS EN ZONAS DE ALTO RIESGO NO MITIGABLE ID:2015-W166-211, LOCALIDAD:04 SAN CRISTÓBAL, UPZ:33 SOSIEGO, SECTOR:EPERARA</v>
          </cell>
          <cell r="J245">
            <v>5525975</v>
          </cell>
          <cell r="K245">
            <v>0</v>
          </cell>
          <cell r="L245">
            <v>5525975</v>
          </cell>
          <cell r="M245">
            <v>1700300</v>
          </cell>
          <cell r="N245">
            <v>3825675</v>
          </cell>
        </row>
        <row r="246">
          <cell r="A246">
            <v>395</v>
          </cell>
          <cell r="B246">
            <v>590</v>
          </cell>
          <cell r="C246">
            <v>43133</v>
          </cell>
          <cell r="D246" t="str">
            <v>MARIA ANGELICA QUIÑONEZ MOLANO</v>
          </cell>
          <cell r="E246">
            <v>31</v>
          </cell>
          <cell r="F246" t="str">
            <v>RESOLUCION</v>
          </cell>
          <cell r="G246">
            <v>181</v>
          </cell>
          <cell r="H246">
            <v>43133</v>
          </cell>
          <cell r="I246" t="str">
            <v>AYUDA TEMPORAL A LAS FAMILIAS DE VARIAS LOCALIDADES, PARA RELOCALIZACIÓN DE HOGARES LOCALIZADOS EN ZONAS DE ALTO RIESGO NO MITIGABLE ID:2013000294, LOCALIDAD:19 CIUDAD BOLÍVAR, UPZ:67 LUCERO, SECTOR:QUEBRADA TROMPETA</v>
          </cell>
          <cell r="J246">
            <v>3157315</v>
          </cell>
          <cell r="K246">
            <v>0</v>
          </cell>
          <cell r="L246">
            <v>3157315</v>
          </cell>
          <cell r="M246">
            <v>1804180</v>
          </cell>
          <cell r="N246">
            <v>1353135</v>
          </cell>
        </row>
        <row r="247">
          <cell r="A247">
            <v>395</v>
          </cell>
          <cell r="B247">
            <v>591</v>
          </cell>
          <cell r="C247">
            <v>43133</v>
          </cell>
          <cell r="D247" t="str">
            <v>BRIGETH ADRIANA JIMENEZ WILCHES</v>
          </cell>
          <cell r="E247">
            <v>31</v>
          </cell>
          <cell r="F247" t="str">
            <v>RESOLUCION</v>
          </cell>
          <cell r="G247">
            <v>182</v>
          </cell>
          <cell r="H247">
            <v>43133</v>
          </cell>
          <cell r="I247" t="str">
            <v>AYUDA TEMPORAL A LAS FAMILIAS DE VARIAS LOCALIDADES, PARA RELOCALIZACIÓN DE HOGARES LOCALIZADOS EN ZONAS DE ALTO RIESGO NO MITIGABLE ID:2013-4-14633, LOCALIDAD:04 SAN CRISTÓBAL, UPZ:32 SAN BLAS</v>
          </cell>
          <cell r="J247">
            <v>6897150</v>
          </cell>
          <cell r="K247">
            <v>0</v>
          </cell>
          <cell r="L247">
            <v>6897150</v>
          </cell>
          <cell r="M247">
            <v>2122200</v>
          </cell>
          <cell r="N247">
            <v>4774950</v>
          </cell>
        </row>
        <row r="248">
          <cell r="A248">
            <v>395</v>
          </cell>
          <cell r="B248">
            <v>592</v>
          </cell>
          <cell r="C248">
            <v>43133</v>
          </cell>
          <cell r="D248" t="str">
            <v>MARIA ROCIO SANCHEZ LINARES</v>
          </cell>
          <cell r="E248">
            <v>31</v>
          </cell>
          <cell r="F248" t="str">
            <v>RESOLUCION</v>
          </cell>
          <cell r="G248">
            <v>183</v>
          </cell>
          <cell r="H248">
            <v>43133</v>
          </cell>
          <cell r="I248" t="str">
            <v>AYUDA TEMPORAL A LAS FAMILIAS DE VARIAS LOCALIDADES, PARA RELOCALIZACIÓN DE HOGARES LOCALIZADOS EN ZONAS DE ALTO RIESGO NO MITIGABLE ID:2016-08-14851, LOCALIDAD:08 KENNEDY, UPZ:82 PATIO BONITO, SECTOR:PALMITAS</v>
          </cell>
          <cell r="J248">
            <v>7672262</v>
          </cell>
          <cell r="K248">
            <v>0</v>
          </cell>
          <cell r="L248">
            <v>7672262</v>
          </cell>
          <cell r="M248">
            <v>2360696</v>
          </cell>
          <cell r="N248">
            <v>5311566</v>
          </cell>
        </row>
        <row r="249">
          <cell r="A249">
            <v>395</v>
          </cell>
          <cell r="B249">
            <v>593</v>
          </cell>
          <cell r="C249">
            <v>43133</v>
          </cell>
          <cell r="D249" t="str">
            <v>LUIS FERNANDO PADILLA VELASQUEZ</v>
          </cell>
          <cell r="E249">
            <v>31</v>
          </cell>
          <cell r="F249" t="str">
            <v>RESOLUCION</v>
          </cell>
          <cell r="G249">
            <v>184</v>
          </cell>
          <cell r="H249">
            <v>43133</v>
          </cell>
          <cell r="I249" t="str">
            <v>AYUDA TEMPORAL A LAS FAMILIAS DE VARIAS LOCALIDADES, PARA RELOCALIZACIÓN DE HOGARES LOCALIZADOS EN ZONAS DE ALTO RIESGO NO MITIGABLE ID:2016-08-14869, LOCALIDAD:08 KENNEDY, UPZ:82 PATIO BONITO, SECTOR:PALMITAS</v>
          </cell>
          <cell r="J249">
            <v>5754190</v>
          </cell>
          <cell r="K249">
            <v>0</v>
          </cell>
          <cell r="L249">
            <v>5754190</v>
          </cell>
          <cell r="M249">
            <v>1770520</v>
          </cell>
          <cell r="N249">
            <v>3983670</v>
          </cell>
        </row>
        <row r="250">
          <cell r="A250">
            <v>395</v>
          </cell>
          <cell r="B250">
            <v>594</v>
          </cell>
          <cell r="C250">
            <v>43133</v>
          </cell>
          <cell r="D250" t="str">
            <v>FERNANDO  CHAMAPURO CHOCHO</v>
          </cell>
          <cell r="E250">
            <v>31</v>
          </cell>
          <cell r="F250" t="str">
            <v>RESOLUCION</v>
          </cell>
          <cell r="G250">
            <v>185</v>
          </cell>
          <cell r="H250">
            <v>43133</v>
          </cell>
          <cell r="I250" t="str">
            <v>AYUDA TEMPORAL A LAS FAMILIAS DE VARIAS LOCALIDADES, PARA RELOCALIZACIÓN DE HOGARES LOCALIZADOS EN ZONAS DE ALTO RIESGO NO MITIGABLE ID:2015-W166-431, LOCALIDAD:19 CIUDAD BOLÍVAR, UPZ:68 EL TESORO, SECTOR:WOUNAAN</v>
          </cell>
          <cell r="J250">
            <v>7036432</v>
          </cell>
          <cell r="K250">
            <v>0</v>
          </cell>
          <cell r="L250">
            <v>7036432</v>
          </cell>
          <cell r="M250">
            <v>2165056</v>
          </cell>
          <cell r="N250">
            <v>4871376</v>
          </cell>
        </row>
        <row r="251">
          <cell r="A251">
            <v>395</v>
          </cell>
          <cell r="B251">
            <v>595</v>
          </cell>
          <cell r="C251">
            <v>43133</v>
          </cell>
          <cell r="D251" t="str">
            <v>FELIPE  DURA CHAMAPURA</v>
          </cell>
          <cell r="E251">
            <v>31</v>
          </cell>
          <cell r="F251" t="str">
            <v>RESOLUCION</v>
          </cell>
          <cell r="G251">
            <v>186</v>
          </cell>
          <cell r="H251">
            <v>43133</v>
          </cell>
          <cell r="I251" t="str">
            <v>AYUDA TEMPORAL A LAS FAMILIAS DE VARIAS LOCALIDADES, PARA RELOCALIZACIÓN DE HOGARES LOCALIZADOS EN ZONAS DE ALTO RIESGO NO MITIGABLE ID:2015-W166-434, LOCALIDAD:19 CIUDAD BOLÍVAR, UPZ:67 LUCERO, SECTOR:WOUNAAN</v>
          </cell>
          <cell r="J251">
            <v>7036432</v>
          </cell>
          <cell r="K251">
            <v>0</v>
          </cell>
          <cell r="L251">
            <v>7036432</v>
          </cell>
          <cell r="M251">
            <v>2165056</v>
          </cell>
          <cell r="N251">
            <v>4871376</v>
          </cell>
        </row>
        <row r="252">
          <cell r="A252">
            <v>395</v>
          </cell>
          <cell r="B252">
            <v>596</v>
          </cell>
          <cell r="C252">
            <v>43133</v>
          </cell>
          <cell r="D252" t="str">
            <v>JOSELITO  CARDENAS CABEZON</v>
          </cell>
          <cell r="E252">
            <v>31</v>
          </cell>
          <cell r="F252" t="str">
            <v>RESOLUCION</v>
          </cell>
          <cell r="G252">
            <v>187</v>
          </cell>
          <cell r="H252">
            <v>43133</v>
          </cell>
          <cell r="I252" t="str">
            <v>AYUDA TEMPORAL A LAS FAMILIAS DE VARIAS LOCALIDADES, PARA RELOCALIZACIÓN DE HOGARES LOCALIZADOS EN ZONAS DE ALTO RIESGO NO MITIGABLE ID:2014-W166-022, LOCALIDAD:19 CIUDAD BOLÍVAR, UPZ:68 EL TESORO, SECTOR:WOUNAAN</v>
          </cell>
          <cell r="J252">
            <v>6713226</v>
          </cell>
          <cell r="K252">
            <v>0</v>
          </cell>
          <cell r="L252">
            <v>6713226</v>
          </cell>
          <cell r="M252">
            <v>2065608</v>
          </cell>
          <cell r="N252">
            <v>4647618</v>
          </cell>
        </row>
        <row r="253">
          <cell r="A253">
            <v>395</v>
          </cell>
          <cell r="B253">
            <v>597</v>
          </cell>
          <cell r="C253">
            <v>43133</v>
          </cell>
          <cell r="D253" t="str">
            <v>JUAN  CHIRIPUA PUCHICAMA</v>
          </cell>
          <cell r="E253">
            <v>31</v>
          </cell>
          <cell r="F253" t="str">
            <v>RESOLUCION</v>
          </cell>
          <cell r="G253">
            <v>188</v>
          </cell>
          <cell r="H253">
            <v>43133</v>
          </cell>
          <cell r="I253" t="str">
            <v>AYUDA TEMPORAL A LAS FAMILIAS DE VARIAS LOCALIDADES, PARA RELOCALIZACIÓN DE HOGARES LOCALIZADOS EN ZONAS DE ALTO RIESGO NO MITIGABLE ID:2014-W166-013, LOCALIDAD:19 CIUDAD BOLÍVAR, UPZ:68 EL TESORO, SECTOR:WOUNAAN</v>
          </cell>
          <cell r="J253">
            <v>5946005</v>
          </cell>
          <cell r="K253">
            <v>0</v>
          </cell>
          <cell r="L253">
            <v>5946005</v>
          </cell>
          <cell r="M253">
            <v>1829540</v>
          </cell>
          <cell r="N253">
            <v>4116465</v>
          </cell>
        </row>
        <row r="254">
          <cell r="A254">
            <v>395</v>
          </cell>
          <cell r="B254">
            <v>598</v>
          </cell>
          <cell r="C254">
            <v>43133</v>
          </cell>
          <cell r="D254" t="str">
            <v>GLORIA MARCELA VEGA MARIN</v>
          </cell>
          <cell r="E254">
            <v>31</v>
          </cell>
          <cell r="F254" t="str">
            <v>RESOLUCION</v>
          </cell>
          <cell r="G254">
            <v>189</v>
          </cell>
          <cell r="H254">
            <v>43133</v>
          </cell>
          <cell r="I254" t="str">
            <v>AYUDA TEMPORAL A LAS FAMILIAS DE VARIAS LOCALIDADES, PARA RELOCALIZACIÓN DE HOGARES LOCALIZADOS EN ZONAS DE ALTO RIESGO NO MITIGABLE ID:2011-3-13136, LOCALIDAD:03 SANTA FE, UPZ:96 LOURDES</v>
          </cell>
          <cell r="J254">
            <v>7000929</v>
          </cell>
          <cell r="K254">
            <v>0</v>
          </cell>
          <cell r="L254">
            <v>7000929</v>
          </cell>
          <cell r="M254">
            <v>2154132</v>
          </cell>
          <cell r="N254">
            <v>4846797</v>
          </cell>
        </row>
        <row r="255">
          <cell r="A255">
            <v>395</v>
          </cell>
          <cell r="B255">
            <v>599</v>
          </cell>
          <cell r="C255">
            <v>43133</v>
          </cell>
          <cell r="D255" t="str">
            <v>JAIRO ANDRES VASQUEZ GARCIA</v>
          </cell>
          <cell r="E255">
            <v>31</v>
          </cell>
          <cell r="F255" t="str">
            <v>RESOLUCION</v>
          </cell>
          <cell r="G255">
            <v>190</v>
          </cell>
          <cell r="H255">
            <v>43133</v>
          </cell>
          <cell r="I255" t="str">
            <v>AYUDA TEMPORAL A LAS FAMILIAS DE VARIAS LOCALIDADES, PARA RELOCALIZACIÓN DE HOGARES LOCALIZADOS EN ZONAS DE ALTO RIESGO NO MITIGABLE ID:2014-P474-00745, LOCALIDAD:04 SAN CRISTÓBAL, UPZ:33 SOSIEGO, SECTOR:PROCESO LA MARIA</v>
          </cell>
          <cell r="J255">
            <v>7540000</v>
          </cell>
          <cell r="K255">
            <v>0</v>
          </cell>
          <cell r="L255">
            <v>7540000</v>
          </cell>
          <cell r="M255">
            <v>2320000</v>
          </cell>
          <cell r="N255">
            <v>5220000</v>
          </cell>
        </row>
        <row r="256">
          <cell r="A256">
            <v>395</v>
          </cell>
          <cell r="B256">
            <v>600</v>
          </cell>
          <cell r="C256">
            <v>43133</v>
          </cell>
          <cell r="D256" t="str">
            <v>YACQUELINE  TRIANA LOPEZ</v>
          </cell>
          <cell r="E256">
            <v>31</v>
          </cell>
          <cell r="F256" t="str">
            <v>RESOLUCION</v>
          </cell>
          <cell r="G256">
            <v>191</v>
          </cell>
          <cell r="H256">
            <v>43133</v>
          </cell>
          <cell r="I256" t="str">
            <v>AYUDA TEMPORAL A LAS FAMILIAS DE VARIAS LOCALIDADES, PARA RELOCALIZACIÓN DE HOGARES LOCALIZADOS EN ZONAS DE ALTO RIESGO NO MITIGABLE ID:2011-1-12798, LOCALIDAD:01 USAQUÉN, UPZ:11 SAN CRISTÓBAL NORTE, SECTOR:OLA INVERNAL 2010 FOPAE</v>
          </cell>
          <cell r="J256">
            <v>5528289</v>
          </cell>
          <cell r="K256">
            <v>0</v>
          </cell>
          <cell r="L256">
            <v>5528289</v>
          </cell>
          <cell r="M256">
            <v>1701012</v>
          </cell>
          <cell r="N256">
            <v>3827277</v>
          </cell>
        </row>
        <row r="257">
          <cell r="A257">
            <v>395</v>
          </cell>
          <cell r="B257">
            <v>601</v>
          </cell>
          <cell r="C257">
            <v>43133</v>
          </cell>
          <cell r="D257" t="str">
            <v>ROBINSON FERNEY MALAMBO QUESADA</v>
          </cell>
          <cell r="E257">
            <v>31</v>
          </cell>
          <cell r="F257" t="str">
            <v>RESOLUCION</v>
          </cell>
          <cell r="G257">
            <v>192</v>
          </cell>
          <cell r="H257">
            <v>43133</v>
          </cell>
          <cell r="I257" t="str">
            <v>AYUDA TEMPORAL A LAS FAMILIAS DE VARIAS LOCALIDADES, PARA RELOCALIZACIÓN DE HOGARES LOCALIZADOS EN ZONAS DE ALTO RIESGO NO MITIGABLE ID:2012-19-13931, LOCALIDAD:19 CIUDAD BOLÍVAR, UPZ:67 LUCERO</v>
          </cell>
          <cell r="J257">
            <v>3614814</v>
          </cell>
          <cell r="K257">
            <v>0</v>
          </cell>
          <cell r="L257">
            <v>3614814</v>
          </cell>
          <cell r="M257">
            <v>2065608</v>
          </cell>
          <cell r="N257">
            <v>1549206</v>
          </cell>
        </row>
        <row r="258">
          <cell r="A258">
            <v>395</v>
          </cell>
          <cell r="B258">
            <v>602</v>
          </cell>
          <cell r="C258">
            <v>43133</v>
          </cell>
          <cell r="D258" t="str">
            <v>REINALDO  CABEZON MERCAZA</v>
          </cell>
          <cell r="E258">
            <v>31</v>
          </cell>
          <cell r="F258" t="str">
            <v>RESOLUCION</v>
          </cell>
          <cell r="G258">
            <v>193</v>
          </cell>
          <cell r="H258">
            <v>43133</v>
          </cell>
          <cell r="I258" t="str">
            <v>AYUDA TEMPORAL A LAS FAMILIAS DE VARIAS LOCALIDADES, PARA RELOCALIZACIÓN DE HOGARES LOCALIZADOS EN ZONAS DE ALTO RIESGO NO MITIGABLE ID:2014-W166-086, LOCALIDAD:19 CIUDAD BOLÍVAR, UPZ:68 EL TESORO, SECTOR:WOUNAAN</v>
          </cell>
          <cell r="J258">
            <v>8066617</v>
          </cell>
          <cell r="K258">
            <v>0</v>
          </cell>
          <cell r="L258">
            <v>8066617</v>
          </cell>
          <cell r="M258">
            <v>2482036</v>
          </cell>
          <cell r="N258">
            <v>5584581</v>
          </cell>
        </row>
        <row r="259">
          <cell r="A259">
            <v>395</v>
          </cell>
          <cell r="B259">
            <v>603</v>
          </cell>
          <cell r="C259">
            <v>43133</v>
          </cell>
          <cell r="D259" t="str">
            <v>JOSE ALFONSO BETANCUR MORA</v>
          </cell>
          <cell r="E259">
            <v>31</v>
          </cell>
          <cell r="F259" t="str">
            <v>RESOLUCION</v>
          </cell>
          <cell r="G259">
            <v>194</v>
          </cell>
          <cell r="H259">
            <v>43133</v>
          </cell>
          <cell r="I259" t="str">
            <v>AYUDA TEMPORAL A LAS FAMILIAS DE VARIAS LOCALIDADES, PARA RELOCALIZACIÓN DE HOGARES LOCALIZADOS EN ZONAS DE ALTO RIESGO NO MITIGABLE ID:2013000228, LOCALIDAD:19 CIUDAD BOLÍVAR, UPZ:67 LUCERO, SECTOR:QUEBRADA TROMPETA</v>
          </cell>
          <cell r="J259">
            <v>3157315</v>
          </cell>
          <cell r="K259">
            <v>0</v>
          </cell>
          <cell r="L259">
            <v>3157315</v>
          </cell>
          <cell r="M259">
            <v>1804180</v>
          </cell>
          <cell r="N259">
            <v>1353135</v>
          </cell>
        </row>
        <row r="260">
          <cell r="A260">
            <v>395</v>
          </cell>
          <cell r="B260">
            <v>604</v>
          </cell>
          <cell r="C260">
            <v>43133</v>
          </cell>
          <cell r="D260" t="str">
            <v>ROSA EMMA BARAJAS</v>
          </cell>
          <cell r="E260">
            <v>31</v>
          </cell>
          <cell r="F260" t="str">
            <v>RESOLUCION</v>
          </cell>
          <cell r="G260">
            <v>195</v>
          </cell>
          <cell r="H260">
            <v>43133</v>
          </cell>
          <cell r="I260" t="str">
            <v>AYUDA TEMPORAL A LAS FAMILIAS DE VARIAS LOCALIDADES, PARA RELOCALIZACIÓN DE HOGARES LOCALIZADOS EN ZONAS DE ALTO RIESGO NO MITIGABLE ID:2013000016, LOCALIDAD:19 CIUDAD BOLÍVAR, UPZ:67 LUCERO, SECTOR:QUEBRADA CAÑO BAÚL</v>
          </cell>
          <cell r="J260">
            <v>3017000</v>
          </cell>
          <cell r="K260">
            <v>0</v>
          </cell>
          <cell r="L260">
            <v>3017000</v>
          </cell>
          <cell r="M260">
            <v>1724000</v>
          </cell>
          <cell r="N260">
            <v>1293000</v>
          </cell>
        </row>
        <row r="261">
          <cell r="A261">
            <v>395</v>
          </cell>
          <cell r="B261">
            <v>605</v>
          </cell>
          <cell r="C261">
            <v>43133</v>
          </cell>
          <cell r="D261" t="str">
            <v>CARMEN ANDREA VALLEJO RUANO</v>
          </cell>
          <cell r="E261">
            <v>31</v>
          </cell>
          <cell r="F261" t="str">
            <v>RESOLUCION</v>
          </cell>
          <cell r="G261">
            <v>196</v>
          </cell>
          <cell r="H261">
            <v>43133</v>
          </cell>
          <cell r="I261" t="str">
            <v>AYUDA TEMPORAL A LAS FAMILIAS DE VARIAS LOCALIDADES, PARA RELOCALIZACIÓN DE HOGARES LOCALIZADOS EN ZONAS DE ALTO RIESGO NO MITIGABLE ID:2011-19-12939, LOCALIDAD:19 CIUDAD BOLÍVAR, UPZ:67 LUCERO</v>
          </cell>
          <cell r="J261">
            <v>2661659</v>
          </cell>
          <cell r="K261">
            <v>0</v>
          </cell>
          <cell r="L261">
            <v>2661659</v>
          </cell>
          <cell r="M261">
            <v>1520948</v>
          </cell>
          <cell r="N261">
            <v>1140711</v>
          </cell>
        </row>
        <row r="262">
          <cell r="A262">
            <v>395</v>
          </cell>
          <cell r="B262">
            <v>606</v>
          </cell>
          <cell r="C262">
            <v>43133</v>
          </cell>
          <cell r="D262" t="str">
            <v>MARBEL ANDREA MARTINEZ ECHEVERRY</v>
          </cell>
          <cell r="E262">
            <v>31</v>
          </cell>
          <cell r="F262" t="str">
            <v>RESOLUCION</v>
          </cell>
          <cell r="G262">
            <v>197</v>
          </cell>
          <cell r="H262">
            <v>43133</v>
          </cell>
          <cell r="I262" t="str">
            <v>AYUDA TEMPORAL A LAS FAMILIAS DE VARIAS LOCALIDADES, PARA RELOCALIZACIÓN DE HOGARES LOCALIZADOS EN ZONAS DE ALTO RIESGO NO MITIGABLE ID:2016-08-14835, LOCALIDAD:08 KENNEDY, UPZ:82 PATIO BONITO, SECTOR:PALMITAS</v>
          </cell>
          <cell r="J262">
            <v>5946005</v>
          </cell>
          <cell r="K262">
            <v>0</v>
          </cell>
          <cell r="L262">
            <v>5946005</v>
          </cell>
          <cell r="M262">
            <v>1372155</v>
          </cell>
          <cell r="N262">
            <v>4573850</v>
          </cell>
        </row>
        <row r="263">
          <cell r="A263">
            <v>395</v>
          </cell>
          <cell r="B263">
            <v>607</v>
          </cell>
          <cell r="C263">
            <v>43133</v>
          </cell>
          <cell r="D263" t="str">
            <v>ALBA LILIANA TUNJUELO NIEVES</v>
          </cell>
          <cell r="E263">
            <v>31</v>
          </cell>
          <cell r="F263" t="str">
            <v>RESOLUCION</v>
          </cell>
          <cell r="G263">
            <v>207</v>
          </cell>
          <cell r="H263">
            <v>43133</v>
          </cell>
          <cell r="I263" t="str">
            <v>AYUDA TEMPORAL A LAS FAMILIAS DE VARIAS LOCALIDADES, PARA RELOCALIZACIÓN DE HOGARES LOCALIZADOS EN ZONAS DE ALTO RIESGO NO MITIGABLE ID:2012-ALES-7, LOCALIDAD:19 CIUDAD BOLÍVAR, UPZ:69 ISMAEL PERDOMO, SECTOR:ALTOS DE LA ESTANCIA</v>
          </cell>
          <cell r="J263">
            <v>3022327</v>
          </cell>
          <cell r="K263">
            <v>0</v>
          </cell>
          <cell r="L263">
            <v>3022327</v>
          </cell>
          <cell r="M263">
            <v>1727044</v>
          </cell>
          <cell r="N263">
            <v>1295283</v>
          </cell>
        </row>
        <row r="264">
          <cell r="A264">
            <v>395</v>
          </cell>
          <cell r="B264">
            <v>608</v>
          </cell>
          <cell r="C264">
            <v>43133</v>
          </cell>
          <cell r="D264" t="str">
            <v>TERESA DE JESUS BERNAL DE GONZALEZ</v>
          </cell>
          <cell r="E264">
            <v>31</v>
          </cell>
          <cell r="F264" t="str">
            <v>RESOLUCION</v>
          </cell>
          <cell r="G264">
            <v>208</v>
          </cell>
          <cell r="H264">
            <v>43133</v>
          </cell>
          <cell r="I264" t="str">
            <v>AYUDA TEMPORAL A LAS FAMILIAS DE VARIAS LOCALIDADES, PARA RELOCALIZACIÓN DE HOGARES LOCALIZADOS EN ZONAS DE ALTO RIESGO NO MITIGABLE ID:2009-5-11042, LOCALIDAD:05 USME, UPZ:57 GRAN YOMASA</v>
          </cell>
          <cell r="J264">
            <v>6868797</v>
          </cell>
          <cell r="K264">
            <v>0</v>
          </cell>
          <cell r="L264">
            <v>6868797</v>
          </cell>
          <cell r="M264">
            <v>2113476</v>
          </cell>
          <cell r="N264">
            <v>4755321</v>
          </cell>
        </row>
        <row r="265">
          <cell r="A265">
            <v>395</v>
          </cell>
          <cell r="B265">
            <v>609</v>
          </cell>
          <cell r="C265">
            <v>43133</v>
          </cell>
          <cell r="D265" t="str">
            <v>SARAY  GUTIERREZ PEDREROS</v>
          </cell>
          <cell r="E265">
            <v>31</v>
          </cell>
          <cell r="F265" t="str">
            <v>RESOLUCION</v>
          </cell>
          <cell r="G265">
            <v>209</v>
          </cell>
          <cell r="H265">
            <v>43133</v>
          </cell>
          <cell r="I265" t="str">
            <v>AYUDA TEMPORAL A LAS FAMILIAS DE VARIAS LOCALIDADES, PARA RELOCALIZACIÓN DE HOGARES LOCALIZADOS EN ZONAS DE ALTO RIESGO NO MITIGABLE ID:2016-08-14810, LOCALIDAD:08 KENNEDY, UPZ:82 PATIO BONITO, SECTOR:PALMITAS</v>
          </cell>
          <cell r="J265">
            <v>3137015</v>
          </cell>
          <cell r="K265">
            <v>0</v>
          </cell>
          <cell r="L265">
            <v>3137015</v>
          </cell>
          <cell r="M265">
            <v>1792580</v>
          </cell>
          <cell r="N265">
            <v>1344435</v>
          </cell>
        </row>
        <row r="266">
          <cell r="A266">
            <v>395</v>
          </cell>
          <cell r="B266">
            <v>610</v>
          </cell>
          <cell r="C266">
            <v>43133</v>
          </cell>
          <cell r="D266" t="str">
            <v>NOLBERTO  ALAPE TAPIERO</v>
          </cell>
          <cell r="E266">
            <v>31</v>
          </cell>
          <cell r="F266" t="str">
            <v>RESOLUCION</v>
          </cell>
          <cell r="G266">
            <v>210</v>
          </cell>
          <cell r="H266">
            <v>43133</v>
          </cell>
          <cell r="I266" t="str">
            <v>AYUDA TEMPORAL A LAS FAMILIAS DE VARIAS LOCALIDADES, PARA RELOCALIZACIÓN DE HOGARES LOCALIZADOS EN ZONAS DE ALTO RIESGO NO MITIGABLE ID:2012-19-13842, LOCALIDAD:19 CIUDAD BOLÍVAR, UPZ:67 LUCERO</v>
          </cell>
          <cell r="J266">
            <v>5946005</v>
          </cell>
          <cell r="K266">
            <v>0</v>
          </cell>
          <cell r="L266">
            <v>5946005</v>
          </cell>
          <cell r="M266">
            <v>1829540</v>
          </cell>
          <cell r="N266">
            <v>4116465</v>
          </cell>
        </row>
        <row r="267">
          <cell r="A267">
            <v>395</v>
          </cell>
          <cell r="B267">
            <v>611</v>
          </cell>
          <cell r="C267">
            <v>43133</v>
          </cell>
          <cell r="D267" t="str">
            <v>JOSE ORLANDO GIRALDO GOMEZ</v>
          </cell>
          <cell r="E267">
            <v>31</v>
          </cell>
          <cell r="F267" t="str">
            <v>RESOLUCION</v>
          </cell>
          <cell r="G267">
            <v>211</v>
          </cell>
          <cell r="H267">
            <v>43133</v>
          </cell>
          <cell r="I267" t="str">
            <v>AYUDA TEMPORAL A LAS FAMILIAS DE VARIAS LOCALIDADES, PARA RELOCALIZACIÓN DE HOGARES LOCALIZADOS EN ZONAS DE ALTO RIESGO NO MITIGABLE ID:2015-W166-502, LOCALIDAD:03 SANTA FE, UPZ:95 LAS CRUCES, SECTOR:UITOTO</v>
          </cell>
          <cell r="J267">
            <v>7036432</v>
          </cell>
          <cell r="K267">
            <v>0</v>
          </cell>
          <cell r="L267">
            <v>7036432</v>
          </cell>
          <cell r="M267">
            <v>2165056</v>
          </cell>
          <cell r="N267">
            <v>4871376</v>
          </cell>
        </row>
        <row r="268">
          <cell r="A268">
            <v>395</v>
          </cell>
          <cell r="B268">
            <v>612</v>
          </cell>
          <cell r="C268">
            <v>43133</v>
          </cell>
          <cell r="D268" t="str">
            <v>ADAN  CARPIO CHAMAPURO</v>
          </cell>
          <cell r="E268">
            <v>31</v>
          </cell>
          <cell r="F268" t="str">
            <v>RESOLUCION</v>
          </cell>
          <cell r="G268">
            <v>250</v>
          </cell>
          <cell r="H268">
            <v>43133</v>
          </cell>
          <cell r="I268" t="str">
            <v>AYUDA TEMPORAL A LAS FAMILIAS DE VARIAS LOCALIDADES, PARA RELOCALIZACIÓN DE HOGARES LOCALIZADOS EN ZONAS DE ALTO RIESGO NO MITIGABLE ID:2015-W166-426, LOCALIDAD:19 CIUDAD BOLÍVAR, UPZ:68 EL TESORO, SECTOR:WOUNAAN</v>
          </cell>
          <cell r="J268">
            <v>5528393</v>
          </cell>
          <cell r="K268">
            <v>0</v>
          </cell>
          <cell r="L268">
            <v>5528393</v>
          </cell>
          <cell r="M268">
            <v>1701044</v>
          </cell>
          <cell r="N268">
            <v>3827349</v>
          </cell>
        </row>
        <row r="269">
          <cell r="A269">
            <v>395</v>
          </cell>
          <cell r="B269">
            <v>613</v>
          </cell>
          <cell r="C269">
            <v>43133</v>
          </cell>
          <cell r="D269" t="str">
            <v>YURY VICTORIA VARGAS DIAZ</v>
          </cell>
          <cell r="E269">
            <v>31</v>
          </cell>
          <cell r="F269" t="str">
            <v>RESOLUCION</v>
          </cell>
          <cell r="G269">
            <v>212</v>
          </cell>
          <cell r="H269">
            <v>43133</v>
          </cell>
          <cell r="I269" t="str">
            <v>AYUDA TEMPORAL A LAS FAMILIAS DE VARIAS LOCALIDADES, PARA RELOCALIZACIÓN DE HOGARES LOCALIZADOS EN ZONAS DE ALTO RIESGO NO MITIGABLE ID:2011-4-13634, LOCALIDAD:04 SAN CRISTÓBAL, UPZ:32 SAN BLAS</v>
          </cell>
          <cell r="J269">
            <v>5172000</v>
          </cell>
          <cell r="K269">
            <v>0</v>
          </cell>
          <cell r="L269">
            <v>5172000</v>
          </cell>
          <cell r="M269">
            <v>1724000</v>
          </cell>
          <cell r="N269">
            <v>3448000</v>
          </cell>
        </row>
        <row r="270">
          <cell r="A270">
            <v>395</v>
          </cell>
          <cell r="B270">
            <v>614</v>
          </cell>
          <cell r="C270">
            <v>43133</v>
          </cell>
          <cell r="D270" t="str">
            <v>OSCAR EMILIO LUVIESA CHAMARRA</v>
          </cell>
          <cell r="E270">
            <v>31</v>
          </cell>
          <cell r="F270" t="str">
            <v>RESOLUCION</v>
          </cell>
          <cell r="G270">
            <v>251</v>
          </cell>
          <cell r="H270">
            <v>43133</v>
          </cell>
          <cell r="I270" t="str">
            <v>AYUDA TEMPORAL A LAS FAMILIAS DE VARIAS LOCALIDADES, PARA RELOCALIZACIÓN DE HOGARES LOCALIZADOS EN ZONAS DE ALTO RIESGO NO MITIGABLE ID:2014-W166-008, LOCALIDAD:19 CIUDAD BOLÍVAR, UPZ:67 LUCERO, SECTOR:WOUNAAN</v>
          </cell>
          <cell r="J270">
            <v>6236100</v>
          </cell>
          <cell r="K270">
            <v>0</v>
          </cell>
          <cell r="L270">
            <v>6236100</v>
          </cell>
          <cell r="M270">
            <v>1918800</v>
          </cell>
          <cell r="N270">
            <v>4317300</v>
          </cell>
        </row>
        <row r="271">
          <cell r="A271">
            <v>395</v>
          </cell>
          <cell r="B271">
            <v>615</v>
          </cell>
          <cell r="C271">
            <v>43133</v>
          </cell>
          <cell r="D271" t="str">
            <v>DIEGO ENRIQUE GALLEGO MORALES</v>
          </cell>
          <cell r="E271">
            <v>31</v>
          </cell>
          <cell r="F271" t="str">
            <v>RESOLUCION</v>
          </cell>
          <cell r="G271">
            <v>213</v>
          </cell>
          <cell r="H271">
            <v>43133</v>
          </cell>
          <cell r="I271" t="str">
            <v>AYUDA TEMPORAL A LAS FAMILIAS DE VARIAS LOCALIDADES, PARA RELOCALIZACIÓN DE HOGARES LOCALIZADOS EN ZONAS DE ALTO RIESGO NO MITIGABLE ID:2012-19-14412, LOCALIDAD:19 CIUDAD BOLÍVAR, UPZ:68 EL TESORO, SECTOR:QUEBRADA TROMPETA</v>
          </cell>
          <cell r="J271">
            <v>4795154</v>
          </cell>
          <cell r="K271">
            <v>0</v>
          </cell>
          <cell r="L271">
            <v>4795154</v>
          </cell>
          <cell r="M271">
            <v>1475432</v>
          </cell>
          <cell r="N271">
            <v>3319722</v>
          </cell>
        </row>
        <row r="272">
          <cell r="A272">
            <v>395</v>
          </cell>
          <cell r="B272">
            <v>616</v>
          </cell>
          <cell r="C272">
            <v>43133</v>
          </cell>
          <cell r="D272" t="str">
            <v>JOSE ADER MENBACHE GARCIA</v>
          </cell>
          <cell r="E272">
            <v>31</v>
          </cell>
          <cell r="F272" t="str">
            <v>RESOLUCION</v>
          </cell>
          <cell r="G272">
            <v>252</v>
          </cell>
          <cell r="H272">
            <v>43133</v>
          </cell>
          <cell r="I272" t="str">
            <v>AYUDA TEMPORAL A LAS FAMILIAS DE VARIAS LOCALIDADES, PARA RELOCALIZACIÓN DE HOGARES LOCALIZADOS EN ZONAS DE ALTO RIESGO NO MITIGABLE ID:2014-W166-071, LOCALIDAD:19 CIUDAD BOLÍVAR, UPZ:68 EL TESORO, SECTOR:WOUNAAN</v>
          </cell>
          <cell r="J272">
            <v>5285280</v>
          </cell>
          <cell r="K272">
            <v>0</v>
          </cell>
          <cell r="L272">
            <v>5285280</v>
          </cell>
          <cell r="M272">
            <v>1626240</v>
          </cell>
          <cell r="N272">
            <v>3659040</v>
          </cell>
        </row>
        <row r="273">
          <cell r="A273">
            <v>395</v>
          </cell>
          <cell r="B273">
            <v>617</v>
          </cell>
          <cell r="C273">
            <v>43133</v>
          </cell>
          <cell r="D273" t="str">
            <v>EMILIO  ACEVEDO AGUIRRE</v>
          </cell>
          <cell r="E273">
            <v>31</v>
          </cell>
          <cell r="F273" t="str">
            <v>RESOLUCION</v>
          </cell>
          <cell r="G273">
            <v>214</v>
          </cell>
          <cell r="H273">
            <v>43133</v>
          </cell>
          <cell r="I273" t="str">
            <v>AYUDA TEMPORAL A LAS FAMILIAS DE VARIAS LOCALIDADES, PARA RELOCALIZACIÓN DE HOGARES LOCALIZADOS EN ZONAS DE ALTO RIESGO NO MITIGABLE ID:2011-19-12515, LOCALIDAD:19 CIUDAD BOLÍVAR, UPZ:67 LUCERO, SECTOR:OLA INVERNAL 2010 FOPAE</v>
          </cell>
          <cell r="J273">
            <v>2845920</v>
          </cell>
          <cell r="K273">
            <v>0</v>
          </cell>
          <cell r="L273">
            <v>2845920</v>
          </cell>
          <cell r="M273">
            <v>1626240</v>
          </cell>
          <cell r="N273">
            <v>1219680</v>
          </cell>
        </row>
        <row r="274">
          <cell r="A274">
            <v>395</v>
          </cell>
          <cell r="B274">
            <v>618</v>
          </cell>
          <cell r="C274">
            <v>43133</v>
          </cell>
          <cell r="D274" t="str">
            <v>FANNY  ISMARE MERCAZA</v>
          </cell>
          <cell r="E274">
            <v>31</v>
          </cell>
          <cell r="F274" t="str">
            <v>RESOLUCION</v>
          </cell>
          <cell r="G274">
            <v>253</v>
          </cell>
          <cell r="H274">
            <v>43133</v>
          </cell>
          <cell r="I274" t="str">
            <v>AYUDA TEMPORAL A LAS FAMILIAS DE VARIAS LOCALIDADES, PARA RELOCALIZACIÓN DE HOGARES LOCALIZADOS EN ZONAS DE ALTO RIESGO NO MITIGABLE ID:2015-W166-421, LOCALIDAD:19 CIUDAD BOLÍVAR, UPZ:67 LUCERO, SECTOR:WOUNAAN</v>
          </cell>
          <cell r="J274">
            <v>7036432</v>
          </cell>
          <cell r="K274">
            <v>0</v>
          </cell>
          <cell r="L274">
            <v>7036432</v>
          </cell>
          <cell r="M274">
            <v>2165056</v>
          </cell>
          <cell r="N274">
            <v>4871376</v>
          </cell>
        </row>
        <row r="275">
          <cell r="A275">
            <v>395</v>
          </cell>
          <cell r="B275">
            <v>619</v>
          </cell>
          <cell r="C275">
            <v>43133</v>
          </cell>
          <cell r="D275" t="str">
            <v>MARIO HUGO RODRIGUEZ FLOREZ</v>
          </cell>
          <cell r="E275">
            <v>31</v>
          </cell>
          <cell r="F275" t="str">
            <v>RESOLUCION</v>
          </cell>
          <cell r="G275">
            <v>215</v>
          </cell>
          <cell r="H275">
            <v>43133</v>
          </cell>
          <cell r="I275" t="str">
            <v>AYUDA TEMPORAL A LAS FAMILIAS DE VARIAS LOCALIDADES, PARA RELOCALIZACIÓN DE HOGARES LOCALIZADOS EN ZONAS DE ALTO RIESGO NO MITIGABLE ID:2012-ALES-389, LOCALIDAD:19 CIUDAD BOLÍVAR, UPZ:69 ISMAEL PERDOMO, SECTOR:ALTOS DE LA ESTANCIA</v>
          </cell>
          <cell r="J275">
            <v>6233708</v>
          </cell>
          <cell r="K275">
            <v>0</v>
          </cell>
          <cell r="L275">
            <v>6233708</v>
          </cell>
          <cell r="M275">
            <v>1918064</v>
          </cell>
          <cell r="N275">
            <v>4315644</v>
          </cell>
        </row>
        <row r="276">
          <cell r="A276">
            <v>395</v>
          </cell>
          <cell r="B276">
            <v>620</v>
          </cell>
          <cell r="C276">
            <v>43133</v>
          </cell>
          <cell r="D276" t="str">
            <v>NELLY  SUA OJEDA</v>
          </cell>
          <cell r="E276">
            <v>31</v>
          </cell>
          <cell r="F276" t="str">
            <v>RESOLUCION</v>
          </cell>
          <cell r="G276">
            <v>254</v>
          </cell>
          <cell r="H276">
            <v>43133</v>
          </cell>
          <cell r="I276" t="str">
            <v>AYUDA TEMPORAL A LAS FAMILIAS DE VARIAS LOCALIDADES, PARA RELOCALIZACIÓN DE HOGARES LOCALIZADOS EN ZONAS DE ALTO RIESGO NO MITIGABLE ID:2012-19-14068, LOCALIDAD:19 CIUDAD BOLÍVAR, UPZ:68 EL TESORO, SECTOR:QUEBRADA TROMPETA</v>
          </cell>
          <cell r="J276">
            <v>3570210</v>
          </cell>
          <cell r="K276">
            <v>0</v>
          </cell>
          <cell r="L276">
            <v>3570210</v>
          </cell>
          <cell r="M276">
            <v>2040120</v>
          </cell>
          <cell r="N276">
            <v>1530090</v>
          </cell>
        </row>
        <row r="277">
          <cell r="A277">
            <v>395</v>
          </cell>
          <cell r="B277">
            <v>621</v>
          </cell>
          <cell r="C277">
            <v>43133</v>
          </cell>
          <cell r="D277" t="str">
            <v>ANDREA ESMERALDA FRANCO ALGECIRA</v>
          </cell>
          <cell r="E277">
            <v>31</v>
          </cell>
          <cell r="F277" t="str">
            <v>RESOLUCION</v>
          </cell>
          <cell r="G277">
            <v>255</v>
          </cell>
          <cell r="H277">
            <v>43133</v>
          </cell>
          <cell r="I277" t="str">
            <v>AYUDA TEMPORAL A LAS FAMILIAS DE VARIAS LOCALIDADES, PARA RELOCALIZACIÓN DE HOGARES LOCALIZADOS EN ZONAS DE ALTO RIESGO NO MITIGABLE ID:2014-18-14706, LOCALIDAD:18 RAFAEL URIBE URIBE, UPZ:53 MARCO FIDEL SUÁREZ</v>
          </cell>
          <cell r="J277">
            <v>2893681</v>
          </cell>
          <cell r="K277">
            <v>0</v>
          </cell>
          <cell r="L277">
            <v>2893681</v>
          </cell>
          <cell r="M277">
            <v>1653532</v>
          </cell>
          <cell r="N277">
            <v>1240149</v>
          </cell>
        </row>
        <row r="278">
          <cell r="A278">
            <v>395</v>
          </cell>
          <cell r="B278">
            <v>622</v>
          </cell>
          <cell r="C278">
            <v>43133</v>
          </cell>
          <cell r="D278" t="str">
            <v>MARIA INES CERINZA</v>
          </cell>
          <cell r="E278">
            <v>31</v>
          </cell>
          <cell r="F278" t="str">
            <v>RESOLUCION</v>
          </cell>
          <cell r="G278">
            <v>256</v>
          </cell>
          <cell r="H278">
            <v>43133</v>
          </cell>
          <cell r="I278" t="str">
            <v>AYUDA TEMPORAL A LAS FAMILIAS DE VARIAS LOCALIDADES, PARA RELOCALIZACIÓN DE HOGARES LOCALIZADOS EN ZONAS DE ALTO RIESGO NO MITIGABLE ID:2011-19-12555, LOCALIDAD:19 CIUDAD BOLÍVAR, UPZ:69 ISMAEL PERDOMO, SECTOR:OLA INVERNAL 2010 FOPAE</v>
          </cell>
          <cell r="J278">
            <v>5754190</v>
          </cell>
          <cell r="K278">
            <v>0</v>
          </cell>
          <cell r="L278">
            <v>5754190</v>
          </cell>
          <cell r="M278">
            <v>1770520</v>
          </cell>
          <cell r="N278">
            <v>3983670</v>
          </cell>
        </row>
        <row r="279">
          <cell r="A279">
            <v>395</v>
          </cell>
          <cell r="B279">
            <v>623</v>
          </cell>
          <cell r="C279">
            <v>43133</v>
          </cell>
          <cell r="D279" t="str">
            <v>NUBIA ESPERANZA SIERRA LEON</v>
          </cell>
          <cell r="E279">
            <v>31</v>
          </cell>
          <cell r="F279" t="str">
            <v>RESOLUCION</v>
          </cell>
          <cell r="G279">
            <v>257</v>
          </cell>
          <cell r="H279">
            <v>43133</v>
          </cell>
          <cell r="I279" t="str">
            <v>AYUDA TEMPORAL A LAS FAMILIAS DE VARIAS LOCALIDADES, PARA RELOCALIZACIÓN DE HOGARES LOCALIZADOS EN ZONAS DE ALTO RIESGO NO MITIGABLE ID:2016-08-14783, LOCALIDAD:08 KENNEDY, UPZ:82 PATIO BONITO, SECTOR:PALMITAS</v>
          </cell>
          <cell r="J279">
            <v>5274672</v>
          </cell>
          <cell r="K279">
            <v>0</v>
          </cell>
          <cell r="L279">
            <v>5274672</v>
          </cell>
          <cell r="M279">
            <v>1622976</v>
          </cell>
          <cell r="N279">
            <v>3651696</v>
          </cell>
        </row>
        <row r="280">
          <cell r="A280">
            <v>395</v>
          </cell>
          <cell r="B280">
            <v>624</v>
          </cell>
          <cell r="C280">
            <v>43133</v>
          </cell>
          <cell r="D280" t="str">
            <v>MONICA ANDREA VELEZ FERRIN</v>
          </cell>
          <cell r="E280">
            <v>31</v>
          </cell>
          <cell r="F280" t="str">
            <v>RESOLUCION</v>
          </cell>
          <cell r="G280">
            <v>258</v>
          </cell>
          <cell r="H280">
            <v>43133</v>
          </cell>
          <cell r="I280" t="str">
            <v>AYUDA TEMPORAL A LAS FAMILIAS DE VARIAS LOCALIDADES, PARA RELOCALIZACIÓN DE HOGARES LOCALIZADOS EN ZONAS DE ALTO RIESGO NO MITIGABLE ID:2012-19-14510, LOCALIDAD:19 CIUDAD BOLÍVAR, UPZ:68 EL TESORO, SECTOR:QUEBRADA EL INFIERNO</v>
          </cell>
          <cell r="J280">
            <v>3098410</v>
          </cell>
          <cell r="K280">
            <v>0</v>
          </cell>
          <cell r="L280">
            <v>3098410</v>
          </cell>
          <cell r="M280">
            <v>1770520</v>
          </cell>
          <cell r="N280">
            <v>1327890</v>
          </cell>
        </row>
        <row r="281">
          <cell r="A281">
            <v>395</v>
          </cell>
          <cell r="B281">
            <v>625</v>
          </cell>
          <cell r="C281">
            <v>43133</v>
          </cell>
          <cell r="D281" t="str">
            <v>PABLO EMILIO REYES CALDERON</v>
          </cell>
          <cell r="E281">
            <v>31</v>
          </cell>
          <cell r="F281" t="str">
            <v>RESOLUCION</v>
          </cell>
          <cell r="G281">
            <v>259</v>
          </cell>
          <cell r="H281">
            <v>43133</v>
          </cell>
          <cell r="I281" t="str">
            <v>AYUDA TEMPORAL A LAS FAMILIAS DE VARIAS LOCALIDADES, PARA RELOCALIZACIÓN DE HOGARES LOCALIZADOS EN ZONAS DE ALTO RIESGO NO MITIGABLE ID:2013-Q10-00229, LOCALIDAD:19 CIUDAD BOLÍVAR, UPZ:67 LUCERO, SECTOR:PEÑA COLORADA</v>
          </cell>
          <cell r="J281">
            <v>2685291</v>
          </cell>
          <cell r="K281">
            <v>0</v>
          </cell>
          <cell r="L281">
            <v>2685291</v>
          </cell>
          <cell r="M281">
            <v>1534452</v>
          </cell>
          <cell r="N281">
            <v>1150839</v>
          </cell>
        </row>
        <row r="282">
          <cell r="A282">
            <v>395</v>
          </cell>
          <cell r="B282">
            <v>626</v>
          </cell>
          <cell r="C282">
            <v>43133</v>
          </cell>
          <cell r="D282" t="str">
            <v>RUPERTO  SUAREZ MOLINA</v>
          </cell>
          <cell r="E282">
            <v>31</v>
          </cell>
          <cell r="F282" t="str">
            <v>RESOLUCION</v>
          </cell>
          <cell r="G282">
            <v>260</v>
          </cell>
          <cell r="H282">
            <v>43133</v>
          </cell>
          <cell r="I282" t="str">
            <v>AYUDA TEMPORAL A LAS FAMILIAS DE VARIAS LOCALIDADES, PARA RELOCALIZACIÓN DE HOGARES LOCALIZADOS EN ZONAS DE ALTO RIESGO NO MITIGABLE ID:2016-08-14894, LOCALIDAD:08 KENNEDY, UPZ:82 PATIO BONITO, SECTOR:PALMITAS</v>
          </cell>
          <cell r="J282">
            <v>5178771</v>
          </cell>
          <cell r="K282">
            <v>0</v>
          </cell>
          <cell r="L282">
            <v>5178771</v>
          </cell>
          <cell r="M282">
            <v>1593468</v>
          </cell>
          <cell r="N282">
            <v>3585303</v>
          </cell>
        </row>
        <row r="283">
          <cell r="A283">
            <v>395</v>
          </cell>
          <cell r="B283">
            <v>627</v>
          </cell>
          <cell r="C283">
            <v>43133</v>
          </cell>
          <cell r="D283" t="str">
            <v>JOSE EDILBERTO RESTREPO FORERO</v>
          </cell>
          <cell r="E283">
            <v>31</v>
          </cell>
          <cell r="F283" t="str">
            <v>RESOLUCION</v>
          </cell>
          <cell r="G283">
            <v>261</v>
          </cell>
          <cell r="H283">
            <v>43133</v>
          </cell>
          <cell r="I283" t="str">
            <v>AYUDA TEMPORAL A LAS FAMILIAS DE VARIAS LOCALIDADES, PARA RELOCALIZACIÓN DE HOGARES LOCALIZADOS EN ZONAS DE ALTO RIESGO NO MITIGABLE ID:2011-4-13183, LOCALIDAD:04 SAN CRISTÓBAL, UPZ:32 SAN BLAS</v>
          </cell>
          <cell r="J283">
            <v>2924376</v>
          </cell>
          <cell r="K283">
            <v>0</v>
          </cell>
          <cell r="L283">
            <v>2924376</v>
          </cell>
          <cell r="M283">
            <v>1671072</v>
          </cell>
          <cell r="N283">
            <v>1253304</v>
          </cell>
        </row>
        <row r="284">
          <cell r="A284">
            <v>395</v>
          </cell>
          <cell r="B284">
            <v>628</v>
          </cell>
          <cell r="C284">
            <v>43133</v>
          </cell>
          <cell r="D284" t="str">
            <v>HERNANDO  CASTRO MERGAREJO</v>
          </cell>
          <cell r="E284">
            <v>31</v>
          </cell>
          <cell r="F284" t="str">
            <v>RESOLUCION</v>
          </cell>
          <cell r="G284">
            <v>262</v>
          </cell>
          <cell r="H284">
            <v>43133</v>
          </cell>
          <cell r="I284" t="str">
            <v>AYUDA TEMPORAL A LAS FAMILIAS DE VARIAS LOCALIDADES, PARA RELOCALIZACIÓN DE HOGARES LOCALIZADOS EN ZONAS DE ALTO RIESGO NO MITIGABLE ID:2013-Q09-00479, LOCALIDAD:19 CIUDAD BOLÍVAR, UPZ:67 LUCERO, SECTOR:QUEBRADA TROMPETA</v>
          </cell>
          <cell r="J284">
            <v>3157315</v>
          </cell>
          <cell r="K284">
            <v>0</v>
          </cell>
          <cell r="L284">
            <v>3157315</v>
          </cell>
          <cell r="M284">
            <v>1804180</v>
          </cell>
          <cell r="N284">
            <v>1353135</v>
          </cell>
        </row>
        <row r="285">
          <cell r="A285">
            <v>395</v>
          </cell>
          <cell r="B285">
            <v>629</v>
          </cell>
          <cell r="C285">
            <v>43133</v>
          </cell>
          <cell r="D285" t="str">
            <v>MARIA CLAUDIA MENDEZ SANCHEZ</v>
          </cell>
          <cell r="E285">
            <v>31</v>
          </cell>
          <cell r="F285" t="str">
            <v>RESOLUCION</v>
          </cell>
          <cell r="G285">
            <v>263</v>
          </cell>
          <cell r="H285">
            <v>43133</v>
          </cell>
          <cell r="I285" t="str">
            <v>AYUDA TEMPORAL A LAS FAMILIAS DE VARIAS LOCALIDADES, PARA RELOCALIZACIÓN DE HOGARES LOCALIZADOS EN ZONAS DE ALTO RIESGO NO MITIGABLE ID:2011-19-12752, LOCALIDAD:19 CIUDAD BOLÍVAR, UPZ:68 EL TESORO, SECTOR:QUEBRADA EL INFIERNO</v>
          </cell>
          <cell r="J285">
            <v>2845220</v>
          </cell>
          <cell r="K285">
            <v>0</v>
          </cell>
          <cell r="L285">
            <v>2845220</v>
          </cell>
          <cell r="M285">
            <v>1625840</v>
          </cell>
          <cell r="N285">
            <v>1219380</v>
          </cell>
        </row>
        <row r="286">
          <cell r="A286">
            <v>395</v>
          </cell>
          <cell r="B286">
            <v>630</v>
          </cell>
          <cell r="C286">
            <v>43133</v>
          </cell>
          <cell r="D286" t="str">
            <v>LUZ DARY VIRVIESCAS SANCHEZ</v>
          </cell>
          <cell r="E286">
            <v>31</v>
          </cell>
          <cell r="F286" t="str">
            <v>RESOLUCION</v>
          </cell>
          <cell r="G286">
            <v>264</v>
          </cell>
          <cell r="H286">
            <v>43133</v>
          </cell>
          <cell r="I286" t="str">
            <v>AYUDA TEMPORAL A LAS FAMILIAS DE VARIAS LOCALIDADES, PARA RELOCALIZACIÓN DE HOGARES LOCALIZADOS EN ZONAS DE ALTO RIESGO NO MITIGABLE ID:2011-19-12751, LOCALIDAD:19 CIUDAD BOLÍVAR, UPZ:68 EL TESORO, SECTOR:QUEBRADA EL INFIERNO</v>
          </cell>
          <cell r="J286">
            <v>2845920</v>
          </cell>
          <cell r="K286">
            <v>0</v>
          </cell>
          <cell r="L286">
            <v>2845920</v>
          </cell>
          <cell r="M286">
            <v>1626240</v>
          </cell>
          <cell r="N286">
            <v>1219680</v>
          </cell>
        </row>
        <row r="287">
          <cell r="A287">
            <v>395</v>
          </cell>
          <cell r="B287">
            <v>631</v>
          </cell>
          <cell r="C287">
            <v>43133</v>
          </cell>
          <cell r="D287" t="str">
            <v>SILVIA  CABRERA GUERRERO</v>
          </cell>
          <cell r="E287">
            <v>31</v>
          </cell>
          <cell r="F287" t="str">
            <v>RESOLUCION</v>
          </cell>
          <cell r="G287">
            <v>265</v>
          </cell>
          <cell r="H287">
            <v>43133</v>
          </cell>
          <cell r="I287" t="str">
            <v>AYUDA TEMPORAL A LAS FAMILIAS DE VARIAS LOCALIDADES, PARA RELOCALIZACIÓN DE HOGARES LOCALIZADOS EN ZONAS DE ALTO RIESGO NO MITIGABLE ID:2015-W166-401, LOCALIDAD:19 CIUDAD BOLÍVAR, UPZ:70 JERUSALÉN, SECTOR:UITOTO</v>
          </cell>
          <cell r="J287">
            <v>7036432</v>
          </cell>
          <cell r="K287">
            <v>0</v>
          </cell>
          <cell r="L287">
            <v>7036432</v>
          </cell>
          <cell r="M287">
            <v>2165056</v>
          </cell>
          <cell r="N287">
            <v>4871376</v>
          </cell>
        </row>
        <row r="288">
          <cell r="A288">
            <v>395</v>
          </cell>
          <cell r="B288">
            <v>632</v>
          </cell>
          <cell r="C288">
            <v>43133</v>
          </cell>
          <cell r="D288" t="str">
            <v>ANUNCIO  MOÑA BURGARA</v>
          </cell>
          <cell r="E288">
            <v>31</v>
          </cell>
          <cell r="F288" t="str">
            <v>RESOLUCION</v>
          </cell>
          <cell r="G288">
            <v>266</v>
          </cell>
          <cell r="H288">
            <v>43133</v>
          </cell>
          <cell r="I288" t="str">
            <v>AYUDA TEMPORAL A LAS FAMILIAS DE VARIAS LOCALIDADES, PARA RELOCALIZACIÓN DE HOGARES LOCALIZADOS EN ZONAS DE ALTO RIESGO NO MITIGABLE ID:2014-W166-052, LOCALIDAD:19 CIUDAD BOLÍVAR, UPZ:68 EL TESORO, SECTOR:WOUNAAN</v>
          </cell>
          <cell r="J288">
            <v>5178771</v>
          </cell>
          <cell r="K288">
            <v>0</v>
          </cell>
          <cell r="L288">
            <v>5178771</v>
          </cell>
          <cell r="M288">
            <v>1593468</v>
          </cell>
          <cell r="N288">
            <v>3585303</v>
          </cell>
        </row>
        <row r="289">
          <cell r="A289">
            <v>395</v>
          </cell>
          <cell r="B289">
            <v>633</v>
          </cell>
          <cell r="C289">
            <v>43133</v>
          </cell>
          <cell r="D289" t="str">
            <v>SANDRA PATRICIA RODRIGUEZ ORTIZ</v>
          </cell>
          <cell r="E289">
            <v>31</v>
          </cell>
          <cell r="F289" t="str">
            <v>RESOLUCION</v>
          </cell>
          <cell r="G289">
            <v>267</v>
          </cell>
          <cell r="H289">
            <v>43133</v>
          </cell>
          <cell r="I289" t="str">
            <v>AYUDA TEMPORAL A LAS FAMILIAS DE VARIAS LOCALIDADES, PARA RELOCALIZACIÓN DE HOGARES LOCALIZADOS EN ZONAS DE ALTO RIESGO NO MITIGABLE ID:2014-OTR-01170, LOCALIDAD:11 SUBA, UPZ:71 TIBABUYES, SECTOR:GAVILANES</v>
          </cell>
          <cell r="J289">
            <v>3014166</v>
          </cell>
          <cell r="K289">
            <v>0</v>
          </cell>
          <cell r="L289">
            <v>3014166</v>
          </cell>
          <cell r="M289">
            <v>1507083</v>
          </cell>
          <cell r="N289">
            <v>1507083</v>
          </cell>
        </row>
        <row r="290">
          <cell r="A290">
            <v>395</v>
          </cell>
          <cell r="B290">
            <v>634</v>
          </cell>
          <cell r="C290">
            <v>43133</v>
          </cell>
          <cell r="D290" t="str">
            <v>ELISABETH  MENESES RODRIGUEZ</v>
          </cell>
          <cell r="E290">
            <v>31</v>
          </cell>
          <cell r="F290" t="str">
            <v>RESOLUCION</v>
          </cell>
          <cell r="G290">
            <v>268</v>
          </cell>
          <cell r="H290">
            <v>43133</v>
          </cell>
          <cell r="I290" t="str">
            <v>AYUDA TEMPORAL A LAS FAMILIAS DE VARIAS LOCALIDADES, PARA RELOCALIZACIÓN DE HOGARES LOCALIZADOS EN ZONAS DE ALTO RIESGO NO MITIGABLE ID:2011-4-12690, LOCALIDAD:04 SAN CRISTÓBAL, UPZ:32 SAN BLAS</v>
          </cell>
          <cell r="J290">
            <v>2590566</v>
          </cell>
          <cell r="K290">
            <v>0</v>
          </cell>
          <cell r="L290">
            <v>2590566</v>
          </cell>
          <cell r="M290">
            <v>1295283</v>
          </cell>
          <cell r="N290">
            <v>1295283</v>
          </cell>
        </row>
        <row r="291">
          <cell r="A291">
            <v>395</v>
          </cell>
          <cell r="B291">
            <v>635</v>
          </cell>
          <cell r="C291">
            <v>43133</v>
          </cell>
          <cell r="D291" t="str">
            <v>ANA VICTORIA MOLINA VARGAS</v>
          </cell>
          <cell r="E291">
            <v>31</v>
          </cell>
          <cell r="F291" t="str">
            <v>RESOLUCION</v>
          </cell>
          <cell r="G291">
            <v>269</v>
          </cell>
          <cell r="H291">
            <v>43133</v>
          </cell>
          <cell r="I291" t="str">
            <v>AYUDA TEMPORAL A LAS FAMILIAS DE VARIAS LOCALIDADES, PARA RELOCALIZACIÓN DE HOGARES LOCALIZADOS EN ZONAS DE ALTO RIESGO NO MITIGABLE ID:2016-4-14767, LOCALIDAD:04 SAN CRISTÓBAL, UPZ:32 SAN BLAS</v>
          </cell>
          <cell r="J291">
            <v>3098412</v>
          </cell>
          <cell r="K291">
            <v>0</v>
          </cell>
          <cell r="L291">
            <v>3098412</v>
          </cell>
          <cell r="M291">
            <v>1549206</v>
          </cell>
          <cell r="N291">
            <v>1549206</v>
          </cell>
        </row>
        <row r="292">
          <cell r="A292">
            <v>395</v>
          </cell>
          <cell r="B292">
            <v>636</v>
          </cell>
          <cell r="C292">
            <v>43133</v>
          </cell>
          <cell r="D292" t="str">
            <v>CARMEN  MARTINEZ</v>
          </cell>
          <cell r="E292">
            <v>31</v>
          </cell>
          <cell r="F292" t="str">
            <v>RESOLUCION</v>
          </cell>
          <cell r="G292">
            <v>270</v>
          </cell>
          <cell r="H292">
            <v>43133</v>
          </cell>
          <cell r="I292" t="str">
            <v>AYUDA TEMPORAL A LAS FAMILIAS DE VARIAS LOCALIDADES, PARA RELOCALIZACIÓN DE HOGARES LOCALIZADOS EN ZONAS DE ALTO RIESGO NO MITIGABLE ID:2012-19-14046, LOCALIDAD:19 CIUDAD BOLÍVAR, UPZ:68 EL TESORO, SECTOR:QUEBRADA TROMPETA</v>
          </cell>
          <cell r="J292">
            <v>2892240</v>
          </cell>
          <cell r="K292">
            <v>0</v>
          </cell>
          <cell r="L292">
            <v>2892240</v>
          </cell>
          <cell r="M292">
            <v>1446120</v>
          </cell>
          <cell r="N292">
            <v>1446120</v>
          </cell>
        </row>
        <row r="293">
          <cell r="A293">
            <v>395</v>
          </cell>
          <cell r="B293">
            <v>637</v>
          </cell>
          <cell r="C293">
            <v>43133</v>
          </cell>
          <cell r="D293" t="str">
            <v>MANUEL LIBARDO ARIAS MARQUEZ</v>
          </cell>
          <cell r="E293">
            <v>31</v>
          </cell>
          <cell r="F293" t="str">
            <v>RESOLUCION</v>
          </cell>
          <cell r="G293">
            <v>271</v>
          </cell>
          <cell r="H293">
            <v>43133</v>
          </cell>
          <cell r="I293" t="str">
            <v>AYUDA TEMPORAL A LAS FAMILIAS DE VARIAS LOCALIDADES, PARA RELOCALIZACIÓN DE HOGARES LOCALIZADOS EN ZONAS DE ALTO RIESGO NO MITIGABLE ID:2007-19-9702, LOCALIDAD:19 CIUDAD BOLÍVAR, UPZ:69 ISMAEL PERDOMO</v>
          </cell>
          <cell r="J293">
            <v>2582006</v>
          </cell>
          <cell r="K293">
            <v>0</v>
          </cell>
          <cell r="L293">
            <v>2582006</v>
          </cell>
          <cell r="M293">
            <v>1475432</v>
          </cell>
          <cell r="N293">
            <v>1106574</v>
          </cell>
        </row>
        <row r="294">
          <cell r="A294">
            <v>539</v>
          </cell>
          <cell r="B294">
            <v>638</v>
          </cell>
          <cell r="C294">
            <v>43133</v>
          </cell>
          <cell r="D294" t="str">
            <v>YERSON FABIAN LOPEZ PENAGOS</v>
          </cell>
          <cell r="E294">
            <v>31</v>
          </cell>
          <cell r="F294" t="str">
            <v>RESOLUCION</v>
          </cell>
          <cell r="G294">
            <v>512</v>
          </cell>
          <cell r="H294">
            <v>43102</v>
          </cell>
          <cell r="I294" t="str">
            <v>Asignacion del instrumento financiero a las familias ocupantes del predio que hayan superado la fase de verificacion dentro  del marco del Decreto 457 de 2017. LOCALIDAD: KENNEDY; BARRIO: VEREDITAS; ID: 2017-8-383888</v>
          </cell>
          <cell r="J294">
            <v>54686940</v>
          </cell>
          <cell r="K294">
            <v>0</v>
          </cell>
          <cell r="L294">
            <v>54686940</v>
          </cell>
          <cell r="M294">
            <v>54686940</v>
          </cell>
          <cell r="N294">
            <v>0</v>
          </cell>
        </row>
        <row r="295">
          <cell r="A295">
            <v>395</v>
          </cell>
          <cell r="B295">
            <v>639</v>
          </cell>
          <cell r="C295">
            <v>43133</v>
          </cell>
          <cell r="D295" t="str">
            <v>EVA  ORTIZ CABEZON</v>
          </cell>
          <cell r="E295">
            <v>31</v>
          </cell>
          <cell r="F295" t="str">
            <v>RESOLUCION</v>
          </cell>
          <cell r="G295">
            <v>272</v>
          </cell>
          <cell r="H295">
            <v>43133</v>
          </cell>
          <cell r="I295" t="str">
            <v>AYUDA TEMPORAL A LAS FAMILIAS DE VARIAS LOCALIDADES, PARA RELOCALIZACIÓN DE HOGARES LOCALIZADOS EN ZONAS DE ALTO RIESGO NO MITIGABLE ID:2014-W166-058, LOCALIDAD:19 CIUDAD BOLÍVAR, UPZ:68 EL TESORO, SECTOR:WOUNAAN</v>
          </cell>
          <cell r="J295">
            <v>5284500</v>
          </cell>
          <cell r="K295">
            <v>0</v>
          </cell>
          <cell r="L295">
            <v>5284500</v>
          </cell>
          <cell r="M295">
            <v>1626000</v>
          </cell>
          <cell r="N295">
            <v>3658500</v>
          </cell>
        </row>
        <row r="296">
          <cell r="A296">
            <v>395</v>
          </cell>
          <cell r="B296">
            <v>640</v>
          </cell>
          <cell r="C296">
            <v>43133</v>
          </cell>
          <cell r="D296" t="str">
            <v>JOSE GONZALO PINZON SOSA</v>
          </cell>
          <cell r="E296">
            <v>31</v>
          </cell>
          <cell r="F296" t="str">
            <v>RESOLUCION</v>
          </cell>
          <cell r="G296">
            <v>106</v>
          </cell>
          <cell r="H296">
            <v>43133</v>
          </cell>
          <cell r="I296" t="str">
            <v>AYUDA TEMPORAL A LAS FAMILIAS DE VARIAS LOCALIDADES, PARA RELOCALIZACIÓN DE HOGARES LOCALIZADOS EN ZONAS DE ALTO RIESGO NO MITIGABLE ID:2011-4-12686, LOCALIDAD:04 SAN CRISTÓBAL, UPZ:32 SAN BLAS</v>
          </cell>
          <cell r="J296">
            <v>2977086</v>
          </cell>
          <cell r="K296">
            <v>0</v>
          </cell>
          <cell r="L296">
            <v>2977086</v>
          </cell>
          <cell r="M296">
            <v>1488543</v>
          </cell>
          <cell r="N296">
            <v>1488543</v>
          </cell>
        </row>
        <row r="297">
          <cell r="A297">
            <v>395</v>
          </cell>
          <cell r="B297">
            <v>641</v>
          </cell>
          <cell r="C297">
            <v>43133</v>
          </cell>
          <cell r="D297" t="str">
            <v>NUBIA ENID MENDEZ CORREDOR</v>
          </cell>
          <cell r="E297">
            <v>31</v>
          </cell>
          <cell r="F297" t="str">
            <v>RESOLUCION</v>
          </cell>
          <cell r="G297">
            <v>107</v>
          </cell>
          <cell r="H297">
            <v>43133</v>
          </cell>
          <cell r="I297" t="str">
            <v>AYUDA TEMPORAL A LAS FAMILIAS DE VARIAS LOCALIDADES, PARA RELOCALIZACIÓN DE HOGARES LOCALIZADOS EN ZONAS DE ALTO RIESGO NO MITIGABLE ID:2014-LC-00812, LOCALIDAD:19 CIUDAD BOLÍVAR, UPZ:69 ISMAEL PERDOMO</v>
          </cell>
          <cell r="J297">
            <v>2882880</v>
          </cell>
          <cell r="K297">
            <v>0</v>
          </cell>
          <cell r="L297">
            <v>2882880</v>
          </cell>
          <cell r="M297">
            <v>1441440</v>
          </cell>
          <cell r="N297">
            <v>1441440</v>
          </cell>
        </row>
        <row r="298">
          <cell r="A298">
            <v>395</v>
          </cell>
          <cell r="B298">
            <v>642</v>
          </cell>
          <cell r="C298">
            <v>43133</v>
          </cell>
          <cell r="D298" t="str">
            <v>JHON ALEXANDER SARMIENTO</v>
          </cell>
          <cell r="E298">
            <v>31</v>
          </cell>
          <cell r="F298" t="str">
            <v>RESOLUCION</v>
          </cell>
          <cell r="G298">
            <v>108</v>
          </cell>
          <cell r="H298">
            <v>43133</v>
          </cell>
          <cell r="I298" t="str">
            <v>AYUDA TEMPORAL A LAS FAMILIAS DE VARIAS LOCALIDADES, PARA RELOCALIZACIÓN DE HOGARES LOCALIZADOS EN ZONAS DE ALTO RIESGO NO MITIGABLE ID:2012-T314-04, LOCALIDAD:04 SAN CRISTÓBAL, UPZ:50 LA GLORIA</v>
          </cell>
          <cell r="J298">
            <v>2784006</v>
          </cell>
          <cell r="K298">
            <v>0</v>
          </cell>
          <cell r="L298">
            <v>2784006</v>
          </cell>
          <cell r="M298">
            <v>1392003</v>
          </cell>
          <cell r="N298">
            <v>1392003</v>
          </cell>
        </row>
        <row r="299">
          <cell r="A299">
            <v>395</v>
          </cell>
          <cell r="B299">
            <v>643</v>
          </cell>
          <cell r="C299">
            <v>43133</v>
          </cell>
          <cell r="D299" t="str">
            <v>JESUS MARCIAL MAYAG IPUJAN</v>
          </cell>
          <cell r="E299">
            <v>31</v>
          </cell>
          <cell r="F299" t="str">
            <v>RESOLUCION</v>
          </cell>
          <cell r="G299">
            <v>109</v>
          </cell>
          <cell r="H299">
            <v>43133</v>
          </cell>
          <cell r="I299" t="str">
            <v>AYUDA TEMPORAL A LAS FAMILIAS DE VARIAS LOCALIDADES, PARA RELOCALIZACIÓN DE HOGARES LOCALIZADOS EN ZONAS DE ALTO RIESGO NO MITIGABLE ID:2011-4-12637, LOCALIDAD:04 SAN CRISTÓBAL, UPZ:32 SAN BLAS</v>
          </cell>
          <cell r="J299">
            <v>2667402</v>
          </cell>
          <cell r="K299">
            <v>0</v>
          </cell>
          <cell r="L299">
            <v>2667402</v>
          </cell>
          <cell r="M299">
            <v>1333701</v>
          </cell>
          <cell r="N299">
            <v>1333701</v>
          </cell>
        </row>
        <row r="300">
          <cell r="A300">
            <v>395</v>
          </cell>
          <cell r="B300">
            <v>644</v>
          </cell>
          <cell r="C300">
            <v>43133</v>
          </cell>
          <cell r="D300" t="str">
            <v>MARIA WFELMIDA ANZOLA GALINDO</v>
          </cell>
          <cell r="E300">
            <v>31</v>
          </cell>
          <cell r="F300" t="str">
            <v>RESOLUCION</v>
          </cell>
          <cell r="G300">
            <v>110</v>
          </cell>
          <cell r="H300">
            <v>43133</v>
          </cell>
          <cell r="I300" t="str">
            <v>AYUDA TEMPORAL A LAS FAMILIAS DE VARIAS LOCALIDADES, PARA RELOCALIZACIÓN DE HOGARES LOCALIZADOS EN ZONAS DE ALTO RIESGO NO MITIGABLE ID:2012-19-14192, LOCALIDAD:19 CIUDAD BOLÍVAR, UPZ:68 EL TESORO, SECTOR:QUEBRADA TROMPETA</v>
          </cell>
          <cell r="J300">
            <v>2213148</v>
          </cell>
          <cell r="K300">
            <v>0</v>
          </cell>
          <cell r="L300">
            <v>2213148</v>
          </cell>
          <cell r="M300">
            <v>1106574</v>
          </cell>
          <cell r="N300">
            <v>1106574</v>
          </cell>
        </row>
        <row r="301">
          <cell r="A301">
            <v>395</v>
          </cell>
          <cell r="B301">
            <v>645</v>
          </cell>
          <cell r="C301">
            <v>43133</v>
          </cell>
          <cell r="D301" t="str">
            <v>MAYURI  RODRIGUEZ RAMIREZ</v>
          </cell>
          <cell r="E301">
            <v>31</v>
          </cell>
          <cell r="F301" t="str">
            <v>RESOLUCION</v>
          </cell>
          <cell r="G301">
            <v>111</v>
          </cell>
          <cell r="H301">
            <v>43133</v>
          </cell>
          <cell r="I301" t="str">
            <v>AYUDA TEMPORAL A LAS FAMILIAS DE VARIAS LOCALIDADES, PARA RELOCALIZACIÓN DE HOGARES LOCALIZADOS EN ZONAS DE ALTO RIESGO NO MITIGABLE ID:2017-04-14930, LOCALIDAD:04 SAN CRISTÓBAL, UPZ:32 SAN BLAS, SECTOR:TRIANGULO ALTO</v>
          </cell>
          <cell r="J301">
            <v>2434464</v>
          </cell>
          <cell r="K301">
            <v>0</v>
          </cell>
          <cell r="L301">
            <v>2434464</v>
          </cell>
          <cell r="M301">
            <v>1217232</v>
          </cell>
          <cell r="N301">
            <v>1217232</v>
          </cell>
        </row>
        <row r="302">
          <cell r="A302">
            <v>395</v>
          </cell>
          <cell r="B302">
            <v>646</v>
          </cell>
          <cell r="C302">
            <v>43133</v>
          </cell>
          <cell r="D302" t="str">
            <v>BLANCA LUCILA BELTRAN</v>
          </cell>
          <cell r="E302">
            <v>31</v>
          </cell>
          <cell r="F302" t="str">
            <v>RESOLUCION</v>
          </cell>
          <cell r="G302">
            <v>112</v>
          </cell>
          <cell r="H302">
            <v>43133</v>
          </cell>
          <cell r="I302" t="str">
            <v>AYUDA TEMPORAL A LAS FAMILIAS DE VARIAS LOCALIDADES, PARA RELOCALIZACIÓN DE HOGARES LOCALIZADOS EN ZONAS DE ALTO RIESGO NO MITIGABLE ID:2011-4-12656, LOCALIDAD:04 SAN CRISTÓBAL, UPZ:32 SAN BLAS</v>
          </cell>
          <cell r="J302">
            <v>2655780</v>
          </cell>
          <cell r="K302">
            <v>0</v>
          </cell>
          <cell r="L302">
            <v>2655780</v>
          </cell>
          <cell r="M302">
            <v>1327890</v>
          </cell>
          <cell r="N302">
            <v>1327890</v>
          </cell>
        </row>
        <row r="303">
          <cell r="A303">
            <v>395</v>
          </cell>
          <cell r="B303">
            <v>648</v>
          </cell>
          <cell r="C303">
            <v>43133</v>
          </cell>
          <cell r="D303" t="str">
            <v>LILIA INES DUARTE RUBIANO</v>
          </cell>
          <cell r="E303">
            <v>31</v>
          </cell>
          <cell r="F303" t="str">
            <v>RESOLUCION</v>
          </cell>
          <cell r="G303">
            <v>113</v>
          </cell>
          <cell r="H303">
            <v>43133</v>
          </cell>
          <cell r="I303" t="str">
            <v>AYUDA TEMPORAL A LAS FAMILIAS DE VARIAS LOCALIDADES, PARA RELOCALIZACIÓN DE HOGARES LOCALIZADOS EN ZONAS DE ALTO RIESGO NO MITIGABLE ID:2010-5-11557, LOCALIDAD:05 USME, UPZ:57 GRAN YOMASA, SECTOR:OLA INVERNAL 2010 FOPAE</v>
          </cell>
          <cell r="J303">
            <v>3213600</v>
          </cell>
          <cell r="K303">
            <v>0</v>
          </cell>
          <cell r="L303">
            <v>3213600</v>
          </cell>
          <cell r="M303">
            <v>1606800</v>
          </cell>
          <cell r="N303">
            <v>1606800</v>
          </cell>
        </row>
        <row r="304">
          <cell r="A304">
            <v>395</v>
          </cell>
          <cell r="B304">
            <v>651</v>
          </cell>
          <cell r="C304">
            <v>43133</v>
          </cell>
          <cell r="D304" t="str">
            <v>JOSE FLORINDO BARAJAS</v>
          </cell>
          <cell r="E304">
            <v>31</v>
          </cell>
          <cell r="F304" t="str">
            <v>RESOLUCION</v>
          </cell>
          <cell r="G304">
            <v>114</v>
          </cell>
          <cell r="H304">
            <v>43133</v>
          </cell>
          <cell r="I304" t="str">
            <v>AYUDA TEMPORAL A LAS FAMILIAS DE VARIAS LOCALIDADES, PARA RELOCALIZACIÓN DE HOGARES LOCALIZADOS EN ZONAS DE ALTO RIESGO NO MITIGABLE ID:2015-D227-00045, LOCALIDAD:04 SAN CRISTÓBAL, UPZ:51 LOS LIBERTADORES, SECTOR:SANTA TERESITA</v>
          </cell>
          <cell r="J304">
            <v>2976996</v>
          </cell>
          <cell r="K304">
            <v>0</v>
          </cell>
          <cell r="L304">
            <v>2976996</v>
          </cell>
          <cell r="M304">
            <v>1488498</v>
          </cell>
          <cell r="N304">
            <v>1488498</v>
          </cell>
        </row>
        <row r="305">
          <cell r="A305">
            <v>395</v>
          </cell>
          <cell r="B305">
            <v>652</v>
          </cell>
          <cell r="C305">
            <v>43133</v>
          </cell>
          <cell r="D305" t="str">
            <v>PEDRO ANTONIO RODRIGUEZ CIFUENTES</v>
          </cell>
          <cell r="E305">
            <v>31</v>
          </cell>
          <cell r="F305" t="str">
            <v>RESOLUCION</v>
          </cell>
          <cell r="G305">
            <v>115</v>
          </cell>
          <cell r="H305">
            <v>43133</v>
          </cell>
          <cell r="I305" t="str">
            <v>AYUDA TEMPORAL A LAS FAMILIAS DE VARIAS LOCALIDADES, PARA RELOCALIZACIÓN DE HOGARES LOCALIZADOS EN ZONAS DE ALTO RIESGO NO MITIGABLE ID:2012-19-13964, LOCALIDAD:19 CIUDAD BOLÍVAR, UPZ:67 LUCERO, SECTOR:ZANJÓN DE LA ESTRELLA</v>
          </cell>
          <cell r="J305">
            <v>2586000</v>
          </cell>
          <cell r="K305">
            <v>0</v>
          </cell>
          <cell r="L305">
            <v>2586000</v>
          </cell>
          <cell r="M305">
            <v>1293000</v>
          </cell>
          <cell r="N305">
            <v>1293000</v>
          </cell>
        </row>
        <row r="306">
          <cell r="A306">
            <v>395</v>
          </cell>
          <cell r="B306">
            <v>654</v>
          </cell>
          <cell r="C306">
            <v>43136</v>
          </cell>
          <cell r="D306" t="str">
            <v>ALONSO  HERRERA CARPIO</v>
          </cell>
          <cell r="E306">
            <v>31</v>
          </cell>
          <cell r="F306" t="str">
            <v>RESOLUCION</v>
          </cell>
          <cell r="G306">
            <v>116</v>
          </cell>
          <cell r="H306">
            <v>43136</v>
          </cell>
          <cell r="I306" t="str">
            <v>AYUDA TEMPORAL A LAS FAMILIAS DE VARIAS LOCALIDADES, PARA RELOCALIZACIÓN DE HOGARES LOCALIZADOS EN ZONAS DE ALTO RIESGO NO MITIGABLE ID:2011-4-12695, LOCALIDAD:04 SAN CRISTÓBAL, UPZ:32 SAN BLAS</v>
          </cell>
          <cell r="J306">
            <v>2301678</v>
          </cell>
          <cell r="K306">
            <v>0</v>
          </cell>
          <cell r="L306">
            <v>2301678</v>
          </cell>
          <cell r="M306">
            <v>1150839</v>
          </cell>
          <cell r="N306">
            <v>1150839</v>
          </cell>
        </row>
        <row r="307">
          <cell r="A307">
            <v>395</v>
          </cell>
          <cell r="B307">
            <v>655</v>
          </cell>
          <cell r="C307">
            <v>43136</v>
          </cell>
          <cell r="D307" t="str">
            <v>NUBIA XIMENA CAMACHO PUENTES</v>
          </cell>
          <cell r="E307">
            <v>31</v>
          </cell>
          <cell r="F307" t="str">
            <v>RESOLUCION</v>
          </cell>
          <cell r="G307">
            <v>117</v>
          </cell>
          <cell r="H307">
            <v>43136</v>
          </cell>
          <cell r="I307" t="str">
            <v>AYUDA TEMPORAL A LAS FAMILIAS DE VARIAS LOCALIDADES, PARA RELOCALIZACIÓN DE HOGARES LOCALIZADOS EN ZONAS DE ALTO RIESGO NO MITIGABLE ID:2012-T314-02, LOCALIDAD:04 SAN CRISTÓBAL, UPZ:50 LA GLORIA</v>
          </cell>
          <cell r="J307">
            <v>2474634</v>
          </cell>
          <cell r="K307">
            <v>0</v>
          </cell>
          <cell r="L307">
            <v>2474634</v>
          </cell>
          <cell r="M307">
            <v>1237317</v>
          </cell>
          <cell r="N307">
            <v>1237317</v>
          </cell>
        </row>
        <row r="308">
          <cell r="A308">
            <v>395</v>
          </cell>
          <cell r="B308">
            <v>656</v>
          </cell>
          <cell r="C308">
            <v>43136</v>
          </cell>
          <cell r="D308" t="str">
            <v>LUZ AMANDA CASTRO</v>
          </cell>
          <cell r="E308">
            <v>31</v>
          </cell>
          <cell r="F308" t="str">
            <v>RESOLUCION</v>
          </cell>
          <cell r="G308">
            <v>118</v>
          </cell>
          <cell r="H308">
            <v>43136</v>
          </cell>
          <cell r="I308" t="str">
            <v>AYUDA TEMPORAL A LAS FAMILIAS DE VARIAS LOCALIDADES, PARA RELOCALIZACIÓN DE HOGARES LOCALIZADOS EN ZONAS DE ALTO RIESGO NO MITIGABLE ID:2014-LC-00811, LOCALIDAD:19 CIUDAD BOLÍVAR, UPZ:69 ISMAEL PERDOMO</v>
          </cell>
          <cell r="J308">
            <v>2436000</v>
          </cell>
          <cell r="K308">
            <v>0</v>
          </cell>
          <cell r="L308">
            <v>2436000</v>
          </cell>
          <cell r="M308">
            <v>1218000</v>
          </cell>
          <cell r="N308">
            <v>1218000</v>
          </cell>
        </row>
        <row r="309">
          <cell r="A309">
            <v>395</v>
          </cell>
          <cell r="B309">
            <v>657</v>
          </cell>
          <cell r="C309">
            <v>43136</v>
          </cell>
          <cell r="D309" t="str">
            <v>LUZ STELLA CRIOLLO</v>
          </cell>
          <cell r="E309">
            <v>31</v>
          </cell>
          <cell r="F309" t="str">
            <v>RESOLUCION</v>
          </cell>
          <cell r="G309">
            <v>119</v>
          </cell>
          <cell r="H309">
            <v>43136</v>
          </cell>
          <cell r="I309" t="str">
            <v>AYUDA TEMPORAL A LAS FAMILIAS DE VARIAS LOCALIDADES, PARA RELOCALIZACIÓN DE HOGARES LOCALIZADOS EN ZONAS DE ALTO RIESGO NO MITIGABLE ID:2014-Q03-00991, LOCALIDAD:19 CIUDAD BOLÍVAR, UPZ:66 SAN FRANCISCO, SECTOR:LIMAS</v>
          </cell>
          <cell r="J309">
            <v>2586000</v>
          </cell>
          <cell r="K309">
            <v>0</v>
          </cell>
          <cell r="L309">
            <v>2586000</v>
          </cell>
          <cell r="M309">
            <v>862000</v>
          </cell>
          <cell r="N309">
            <v>1724000</v>
          </cell>
        </row>
        <row r="310">
          <cell r="A310">
            <v>395</v>
          </cell>
          <cell r="B310">
            <v>658</v>
          </cell>
          <cell r="C310">
            <v>43136</v>
          </cell>
          <cell r="D310" t="str">
            <v>ROSMIRA  ASPRILLA MOSQUERA</v>
          </cell>
          <cell r="E310">
            <v>31</v>
          </cell>
          <cell r="F310" t="str">
            <v>RESOLUCION</v>
          </cell>
          <cell r="G310">
            <v>120</v>
          </cell>
          <cell r="H310">
            <v>43136</v>
          </cell>
          <cell r="I310" t="str">
            <v>AYUDA TEMPORAL A LAS FAMILIAS DE VARIAS LOCALIDADES, PARA RELOCALIZACIÓN DE HOGARES LOCALIZADOS EN ZONAS DE ALTO RIESGO NO MITIGABLE ID:2011-4-12712, LOCALIDAD:04 SAN CRISTÓBAL, UPZ:32 SAN BLAS</v>
          </cell>
          <cell r="J310">
            <v>2213148</v>
          </cell>
          <cell r="K310">
            <v>0</v>
          </cell>
          <cell r="L310">
            <v>2213148</v>
          </cell>
          <cell r="M310">
            <v>1106574</v>
          </cell>
          <cell r="N310">
            <v>1106574</v>
          </cell>
        </row>
        <row r="311">
          <cell r="A311">
            <v>395</v>
          </cell>
          <cell r="B311">
            <v>659</v>
          </cell>
          <cell r="C311">
            <v>43136</v>
          </cell>
          <cell r="D311" t="str">
            <v>LADY JOHANNA BENAVIDES RIVERA</v>
          </cell>
          <cell r="E311">
            <v>31</v>
          </cell>
          <cell r="F311" t="str">
            <v>RESOLUCION</v>
          </cell>
          <cell r="G311">
            <v>121</v>
          </cell>
          <cell r="H311">
            <v>43136</v>
          </cell>
          <cell r="I311" t="str">
            <v>AYUDA TEMPORAL A LAS FAMILIAS DE VARIAS LOCALIDADES, PARA RELOCALIZACIÓN DE HOGARES LOCALIZADOS EN ZONAS DE ALTO RIESGO NO MITIGABLE ID:2016-08-14867, LOCALIDAD:08 KENNEDY, UPZ:82 PATIO BONITO, SECTOR:PALMITAS</v>
          </cell>
          <cell r="J311">
            <v>5556993</v>
          </cell>
          <cell r="K311">
            <v>0</v>
          </cell>
          <cell r="L311">
            <v>5556993</v>
          </cell>
          <cell r="M311">
            <v>1709844</v>
          </cell>
          <cell r="N311">
            <v>3847149</v>
          </cell>
        </row>
        <row r="312">
          <cell r="A312">
            <v>395</v>
          </cell>
          <cell r="B312">
            <v>660</v>
          </cell>
          <cell r="C312">
            <v>43136</v>
          </cell>
          <cell r="D312" t="str">
            <v>LUIS EDUARDO SANCHEZ VERA</v>
          </cell>
          <cell r="E312">
            <v>31</v>
          </cell>
          <cell r="F312" t="str">
            <v>RESOLUCION</v>
          </cell>
          <cell r="G312">
            <v>122</v>
          </cell>
          <cell r="H312">
            <v>43136</v>
          </cell>
          <cell r="I312" t="str">
            <v>AYUDA TEMPORAL A LAS FAMILIAS DE VARIAS LOCALIDADES, PARA RELOCALIZACIÓN DE HOGARES LOCALIZADOS EN ZONAS DE ALTO RIESGO NO MITIGABLE ID:2013-Q10-00522, LOCALIDAD:04 SAN CRISTÓBAL, UPZ:51 LOS LIBERTADORES, SECTOR:QUEBRADA VEREJONES</v>
          </cell>
          <cell r="J312">
            <v>5361421</v>
          </cell>
          <cell r="K312">
            <v>0</v>
          </cell>
          <cell r="L312">
            <v>5361421</v>
          </cell>
          <cell r="M312">
            <v>1649668</v>
          </cell>
          <cell r="N312">
            <v>3711753</v>
          </cell>
        </row>
        <row r="313">
          <cell r="A313">
            <v>395</v>
          </cell>
          <cell r="B313">
            <v>661</v>
          </cell>
          <cell r="C313">
            <v>43136</v>
          </cell>
          <cell r="D313" t="str">
            <v>FRANCISCO LUIS LOPEZ OROZCO</v>
          </cell>
          <cell r="E313">
            <v>31</v>
          </cell>
          <cell r="F313" t="str">
            <v>RESOLUCION</v>
          </cell>
          <cell r="G313">
            <v>123</v>
          </cell>
          <cell r="H313">
            <v>43136</v>
          </cell>
          <cell r="I313" t="str">
            <v>AYUDA TEMPORAL A LAS FAMILIAS DE VARIAS LOCALIDADES, PARA RELOCALIZACIÓN DE HOGARES LOCALIZADOS EN ZONAS DE ALTO RIESGO NO MITIGABLE ID:2011-19-12882, LOCALIDAD:19 CIUDAD BOLÍVAR, UPZ:67 LUCERO</v>
          </cell>
          <cell r="J313">
            <v>2788562</v>
          </cell>
          <cell r="K313">
            <v>0</v>
          </cell>
          <cell r="L313">
            <v>2788562</v>
          </cell>
          <cell r="M313">
            <v>1593464</v>
          </cell>
          <cell r="N313">
            <v>1195098</v>
          </cell>
        </row>
        <row r="314">
          <cell r="A314">
            <v>395</v>
          </cell>
          <cell r="B314">
            <v>662</v>
          </cell>
          <cell r="C314">
            <v>43136</v>
          </cell>
          <cell r="D314" t="str">
            <v>BERNEY  VIUCHE SIERRA</v>
          </cell>
          <cell r="E314">
            <v>31</v>
          </cell>
          <cell r="F314" t="str">
            <v>RESOLUCION</v>
          </cell>
          <cell r="G314">
            <v>124</v>
          </cell>
          <cell r="H314">
            <v>43136</v>
          </cell>
          <cell r="I314" t="str">
            <v>AYUDA TEMPORAL A LAS FAMILIAS DE VARIAS LOCALIDADES, PARA RELOCALIZACIÓN DE HOGARES LOCALIZADOS EN ZONAS DE ALTO RIESGO NO MITIGABLE ID:2015-Q03-01487, LOCALIDAD:19 CIUDAD BOLÍVAR, UPZ:66 SAN FRANCISCO, SECTOR:LIMAS</v>
          </cell>
          <cell r="J314">
            <v>2685291</v>
          </cell>
          <cell r="K314">
            <v>0</v>
          </cell>
          <cell r="L314">
            <v>2685291</v>
          </cell>
          <cell r="M314">
            <v>1534452</v>
          </cell>
          <cell r="N314">
            <v>1150839</v>
          </cell>
        </row>
        <row r="315">
          <cell r="A315">
            <v>395</v>
          </cell>
          <cell r="B315">
            <v>663</v>
          </cell>
          <cell r="C315">
            <v>43136</v>
          </cell>
          <cell r="D315" t="str">
            <v>GUILLERMO  DIAZ PEREA</v>
          </cell>
          <cell r="E315">
            <v>31</v>
          </cell>
          <cell r="F315" t="str">
            <v>RESOLUCION</v>
          </cell>
          <cell r="G315">
            <v>125</v>
          </cell>
          <cell r="H315">
            <v>43136</v>
          </cell>
          <cell r="I315" t="str">
            <v>AYUDA TEMPORAL A LAS FAMILIAS DE VARIAS LOCALIDADES, PARA RELOCALIZACIÓN DE HOGARES LOCALIZADOS EN ZONAS DE ALTO RIESGO NO MITIGABLE ID:2011-4-12693, LOCALIDAD:04 SAN CRISTÓBAL, UPZ:32 SAN BLAS</v>
          </cell>
          <cell r="J315">
            <v>2886919</v>
          </cell>
          <cell r="K315">
            <v>0</v>
          </cell>
          <cell r="L315">
            <v>2886919</v>
          </cell>
          <cell r="M315">
            <v>1649668</v>
          </cell>
          <cell r="N315">
            <v>1237251</v>
          </cell>
        </row>
        <row r="316">
          <cell r="A316">
            <v>395</v>
          </cell>
          <cell r="B316">
            <v>664</v>
          </cell>
          <cell r="C316">
            <v>43136</v>
          </cell>
          <cell r="D316" t="str">
            <v>GUSTAVO  PARRA CORTES</v>
          </cell>
          <cell r="E316">
            <v>31</v>
          </cell>
          <cell r="F316" t="str">
            <v>RESOLUCION</v>
          </cell>
          <cell r="G316">
            <v>126</v>
          </cell>
          <cell r="H316">
            <v>43136</v>
          </cell>
          <cell r="I316" t="str">
            <v>AYUDA TEMPORAL A LAS FAMILIAS DE VARIAS LOCALIDADES, PARA RELOCALIZACIÓN DE HOGARES LOCALIZADOS EN ZONAS DE ALTO RIESGO NO MITIGABLE ID:2013-Q09-00082, LOCALIDAD:19 CIUDAD BOLÍVAR, UPZ:67 LUCERO, SECTOR:QUEBRADA HONDA</v>
          </cell>
          <cell r="J316">
            <v>3098410</v>
          </cell>
          <cell r="K316">
            <v>0</v>
          </cell>
          <cell r="L316">
            <v>3098410</v>
          </cell>
          <cell r="M316">
            <v>1770520</v>
          </cell>
          <cell r="N316">
            <v>1327890</v>
          </cell>
        </row>
        <row r="317">
          <cell r="A317">
            <v>395</v>
          </cell>
          <cell r="B317">
            <v>665</v>
          </cell>
          <cell r="C317">
            <v>43136</v>
          </cell>
          <cell r="D317" t="str">
            <v>GUSTAVO  RODRIGUEZ CANCELADO</v>
          </cell>
          <cell r="E317">
            <v>31</v>
          </cell>
          <cell r="F317" t="str">
            <v>RESOLUCION</v>
          </cell>
          <cell r="G317">
            <v>127</v>
          </cell>
          <cell r="H317">
            <v>43136</v>
          </cell>
          <cell r="I317" t="str">
            <v>AYUDA TEMPORAL A LAS FAMILIAS DE VARIAS LOCALIDADES, PARA RELOCALIZACIÓN DE HOGARES LOCALIZADOS EN ZONAS DE ALTO RIESGO NO MITIGABLE ID:2015-Q03-03364, LOCALIDAD:19 CIUDAD BOLÍVAR, UPZ:67 LUCERO, SECTOR:LIMAS</v>
          </cell>
          <cell r="J317">
            <v>5863585</v>
          </cell>
          <cell r="K317">
            <v>0</v>
          </cell>
          <cell r="L317">
            <v>5863585</v>
          </cell>
          <cell r="M317">
            <v>1804180</v>
          </cell>
          <cell r="N317">
            <v>4059405</v>
          </cell>
        </row>
        <row r="318">
          <cell r="A318">
            <v>395</v>
          </cell>
          <cell r="B318">
            <v>666</v>
          </cell>
          <cell r="C318">
            <v>43136</v>
          </cell>
          <cell r="D318" t="str">
            <v>JAIME ENRIQUE GUERRERO</v>
          </cell>
          <cell r="E318">
            <v>31</v>
          </cell>
          <cell r="F318" t="str">
            <v>RESOLUCION</v>
          </cell>
          <cell r="G318">
            <v>128</v>
          </cell>
          <cell r="H318">
            <v>43136</v>
          </cell>
          <cell r="I318" t="str">
            <v>AYUDA TEMPORAL A LAS FAMILIAS DE VARIAS LOCALIDADES, PARA RELOCALIZACIÓN DE HOGARES LOCALIZADOS EN ZONAS DE ALTO RIESGO NO MITIGABLE ID:2016-08-14797, LOCALIDAD:08 KENNEDY, UPZ:82 PATIO BONITO, SECTOR:PALMITAS</v>
          </cell>
          <cell r="J318">
            <v>7000929</v>
          </cell>
          <cell r="K318">
            <v>0</v>
          </cell>
          <cell r="L318">
            <v>7000929</v>
          </cell>
          <cell r="M318">
            <v>2154132</v>
          </cell>
          <cell r="N318">
            <v>4846797</v>
          </cell>
        </row>
        <row r="319">
          <cell r="A319">
            <v>395</v>
          </cell>
          <cell r="B319">
            <v>667</v>
          </cell>
          <cell r="C319">
            <v>43136</v>
          </cell>
          <cell r="D319" t="str">
            <v>EPIFANIO  TOVAR CUAMA</v>
          </cell>
          <cell r="E319">
            <v>31</v>
          </cell>
          <cell r="F319" t="str">
            <v>RESOLUCION</v>
          </cell>
          <cell r="G319">
            <v>129</v>
          </cell>
          <cell r="H319">
            <v>43136</v>
          </cell>
          <cell r="I319" t="str">
            <v>AYUDA TEMPORAL A LAS FAMILIAS DE VARIAS LOCALIDADES, PARA RELOCALIZACIÓN DE HOGARES LOCALIZADOS EN ZONAS DE ALTO RIESGO NO MITIGABLE ID:2015-W166-532, LOCALIDAD:04 SAN CRISTÓBAL, UPZ:34 20 DE JULIO, SECTOR:EPERARA</v>
          </cell>
          <cell r="J319">
            <v>6868797</v>
          </cell>
          <cell r="K319">
            <v>0</v>
          </cell>
          <cell r="L319">
            <v>6868797</v>
          </cell>
          <cell r="M319">
            <v>2113476</v>
          </cell>
          <cell r="N319">
            <v>4755321</v>
          </cell>
        </row>
        <row r="320">
          <cell r="A320">
            <v>395</v>
          </cell>
          <cell r="B320">
            <v>668</v>
          </cell>
          <cell r="C320">
            <v>43136</v>
          </cell>
          <cell r="D320" t="str">
            <v>MARIA ELVIRA TOVAR</v>
          </cell>
          <cell r="E320">
            <v>31</v>
          </cell>
          <cell r="F320" t="str">
            <v>RESOLUCION</v>
          </cell>
          <cell r="G320">
            <v>130</v>
          </cell>
          <cell r="H320">
            <v>43136</v>
          </cell>
          <cell r="I320" t="str">
            <v>AYUDA TEMPORAL A LAS FAMILIAS DE VARIAS LOCALIDADES, PARA RELOCALIZACIÓN DE HOGARES LOCALIZADOS EN ZONAS DE ALTO RIESGO NO MITIGABLE ID:2013000328, LOCALIDAD:19 CIUDAD BOLÍVAR, UPZ:67 LUCERO, SECTOR:PEÑA COLORADA</v>
          </cell>
          <cell r="J320">
            <v>3157315</v>
          </cell>
          <cell r="K320">
            <v>0</v>
          </cell>
          <cell r="L320">
            <v>3157315</v>
          </cell>
          <cell r="M320">
            <v>1804180</v>
          </cell>
          <cell r="N320">
            <v>1353135</v>
          </cell>
        </row>
        <row r="321">
          <cell r="A321">
            <v>395</v>
          </cell>
          <cell r="B321">
            <v>669</v>
          </cell>
          <cell r="C321">
            <v>43136</v>
          </cell>
          <cell r="D321" t="str">
            <v>LUZ DARY MEZA MEDINA</v>
          </cell>
          <cell r="E321">
            <v>31</v>
          </cell>
          <cell r="F321" t="str">
            <v>RESOLUCION</v>
          </cell>
          <cell r="G321">
            <v>131</v>
          </cell>
          <cell r="H321">
            <v>43136</v>
          </cell>
          <cell r="I321" t="str">
            <v>AYUDA TEMPORAL A LAS FAMILIAS DE VARIAS LOCALIDADES, PARA RELOCALIZACIÓN DE HOGARES LOCALIZADOS EN ZONAS DE ALTO RIESGO NO MITIGABLE ID:2011-4-12677, LOCALIDAD:04 SAN CRISTÓBAL, UPZ:32 SAN BLAS</v>
          </cell>
          <cell r="J321">
            <v>3098410</v>
          </cell>
          <cell r="K321">
            <v>0</v>
          </cell>
          <cell r="L321">
            <v>3098410</v>
          </cell>
          <cell r="M321">
            <v>1770520</v>
          </cell>
          <cell r="N321">
            <v>1327890</v>
          </cell>
        </row>
        <row r="322">
          <cell r="A322">
            <v>395</v>
          </cell>
          <cell r="B322">
            <v>670</v>
          </cell>
          <cell r="C322">
            <v>43136</v>
          </cell>
          <cell r="D322" t="str">
            <v>JOSE ISMAEL BABATIVA BARRETO</v>
          </cell>
          <cell r="E322">
            <v>31</v>
          </cell>
          <cell r="F322" t="str">
            <v>RESOLUCION</v>
          </cell>
          <cell r="G322">
            <v>132</v>
          </cell>
          <cell r="H322">
            <v>43136</v>
          </cell>
          <cell r="I322" t="str">
            <v>AYUDA TEMPORAL A LAS FAMILIAS DE VARIAS LOCALIDADES, PARA RELOCALIZACIÓN DE HOGARES LOCALIZADOS EN ZONAS DE ALTO RIESGO NO MITIGABLE ID:2012-4-14278, LOCALIDAD:04 SAN CRISTÓBAL, UPZ:32 SAN BLAS</v>
          </cell>
          <cell r="J322">
            <v>4862286</v>
          </cell>
          <cell r="K322">
            <v>0</v>
          </cell>
          <cell r="L322">
            <v>4862286</v>
          </cell>
          <cell r="M322">
            <v>1496088</v>
          </cell>
          <cell r="N322">
            <v>3366198</v>
          </cell>
        </row>
        <row r="323">
          <cell r="A323">
            <v>395</v>
          </cell>
          <cell r="B323">
            <v>671</v>
          </cell>
          <cell r="C323">
            <v>43136</v>
          </cell>
          <cell r="D323" t="str">
            <v>LAURA PATRICIA AREVALO</v>
          </cell>
          <cell r="E323">
            <v>31</v>
          </cell>
          <cell r="F323" t="str">
            <v>RESOLUCION</v>
          </cell>
          <cell r="G323">
            <v>133</v>
          </cell>
          <cell r="H323">
            <v>43136</v>
          </cell>
          <cell r="I323" t="str">
            <v>AYUDA TEMPORAL A LAS FAMILIAS DE VARIAS LOCALIDADES, PARA RELOCALIZACIÓN DE HOGARES LOCALIZADOS EN ZONAS DE ALTO RIESGO NO MITIGABLE ID:2012-ALES-284, LOCALIDAD:19 CIUDAD BOLÍVAR, UPZ:69 ISMAEL PERDOMO</v>
          </cell>
          <cell r="J323">
            <v>3769731</v>
          </cell>
          <cell r="K323">
            <v>2064132</v>
          </cell>
          <cell r="L323">
            <v>1705599</v>
          </cell>
          <cell r="M323">
            <v>1705599</v>
          </cell>
          <cell r="N323">
            <v>0</v>
          </cell>
        </row>
        <row r="324">
          <cell r="A324">
            <v>395</v>
          </cell>
          <cell r="B324">
            <v>672</v>
          </cell>
          <cell r="C324">
            <v>43136</v>
          </cell>
          <cell r="D324" t="str">
            <v>MANUELA  DURA VALENCIA</v>
          </cell>
          <cell r="E324">
            <v>31</v>
          </cell>
          <cell r="F324" t="str">
            <v>RESOLUCION</v>
          </cell>
          <cell r="G324">
            <v>134</v>
          </cell>
          <cell r="H324">
            <v>43136</v>
          </cell>
          <cell r="I324" t="str">
            <v>AYUDA TEMPORAL A LAS FAMILIAS DE VARIAS LOCALIDADES, PARA RELOCALIZACIÓN DE HOGARES LOCALIZADOS EN ZONAS DE ALTO RIESGO NO MITIGABLE ID:2015-W166-206, LOCALIDAD:04 SAN CRISTÓBAL, UPZ:33 SOSIEGO, SECTOR:EPERARA</v>
          </cell>
          <cell r="J324">
            <v>5525975</v>
          </cell>
          <cell r="K324">
            <v>0</v>
          </cell>
          <cell r="L324">
            <v>5525975</v>
          </cell>
          <cell r="M324">
            <v>1700300</v>
          </cell>
          <cell r="N324">
            <v>3825675</v>
          </cell>
        </row>
        <row r="325">
          <cell r="A325">
            <v>395</v>
          </cell>
          <cell r="B325">
            <v>673</v>
          </cell>
          <cell r="C325">
            <v>43136</v>
          </cell>
          <cell r="D325" t="str">
            <v>LUZ AIDA CHIRIMIA DURA</v>
          </cell>
          <cell r="E325">
            <v>31</v>
          </cell>
          <cell r="F325" t="str">
            <v>RESOLUCION</v>
          </cell>
          <cell r="G325">
            <v>135</v>
          </cell>
          <cell r="H325">
            <v>43136</v>
          </cell>
          <cell r="I325" t="str">
            <v>AYUDA TEMPORAL A LAS FAMILIAS DE VARIAS LOCALIDADES, PARA RELOCALIZACIÓN DE HOGARES LOCALIZADOS EN ZONAS DE ALTO RIESGO NO MITIGABLE ID:2015-W166-217, LOCALIDAD:04 SAN CRISTÓBAL, UPZ:33 SOSIEGO, SECTOR:EPERARA</v>
          </cell>
          <cell r="J325">
            <v>5525975</v>
          </cell>
          <cell r="K325">
            <v>0</v>
          </cell>
          <cell r="L325">
            <v>5525975</v>
          </cell>
          <cell r="M325">
            <v>1700300</v>
          </cell>
          <cell r="N325">
            <v>3825675</v>
          </cell>
        </row>
        <row r="326">
          <cell r="A326">
            <v>395</v>
          </cell>
          <cell r="B326">
            <v>674</v>
          </cell>
          <cell r="C326">
            <v>43136</v>
          </cell>
          <cell r="D326" t="str">
            <v>ALBA RUBI TORRES FORERO</v>
          </cell>
          <cell r="E326">
            <v>31</v>
          </cell>
          <cell r="F326" t="str">
            <v>RESOLUCION</v>
          </cell>
          <cell r="G326">
            <v>136</v>
          </cell>
          <cell r="H326">
            <v>43136</v>
          </cell>
          <cell r="I326" t="str">
            <v>AYUDA TEMPORAL A LAS FAMILIAS DE VARIAS LOCALIDADES, PARA RELOCALIZACIÓN DE HOGARES LOCALIZADOS EN ZONAS DE ALTO RIESGO NO MITIGABLE ID:2014-5-14734, LOCALIDAD:05 USME, UPZ:57 GRAN YOMASA</v>
          </cell>
          <cell r="J326">
            <v>3038112</v>
          </cell>
          <cell r="K326">
            <v>0</v>
          </cell>
          <cell r="L326">
            <v>3038112</v>
          </cell>
          <cell r="M326">
            <v>1736064</v>
          </cell>
          <cell r="N326">
            <v>1302048</v>
          </cell>
        </row>
        <row r="327">
          <cell r="A327">
            <v>395</v>
          </cell>
          <cell r="B327">
            <v>675</v>
          </cell>
          <cell r="C327">
            <v>43136</v>
          </cell>
          <cell r="D327" t="str">
            <v>ALDEMAR  BERMEO</v>
          </cell>
          <cell r="E327">
            <v>31</v>
          </cell>
          <cell r="F327" t="str">
            <v>RESOLUCION</v>
          </cell>
          <cell r="G327">
            <v>137</v>
          </cell>
          <cell r="H327">
            <v>43136</v>
          </cell>
          <cell r="I327" t="str">
            <v>AYUDA TEMPORAL A LAS FAMILIAS DE VARIAS LOCALIDADES, PARA RELOCALIZACIÓN DE HOGARES LOCALIZADOS EN ZONAS DE ALTO RIESGO NO MITIGABLE ID:2016-08-14842, LOCALIDAD:08 KENNEDY, UPZ:82 PATIO BONITO, SECTOR:PALMITAS</v>
          </cell>
          <cell r="J327">
            <v>5274672</v>
          </cell>
          <cell r="K327">
            <v>0</v>
          </cell>
          <cell r="L327">
            <v>5274672</v>
          </cell>
          <cell r="M327">
            <v>1622976</v>
          </cell>
          <cell r="N327">
            <v>3651696</v>
          </cell>
        </row>
        <row r="328">
          <cell r="A328">
            <v>395</v>
          </cell>
          <cell r="B328">
            <v>676</v>
          </cell>
          <cell r="C328">
            <v>43136</v>
          </cell>
          <cell r="D328" t="str">
            <v>MARCELA  CHACON GAONA</v>
          </cell>
          <cell r="E328">
            <v>31</v>
          </cell>
          <cell r="F328" t="str">
            <v>RESOLUCION</v>
          </cell>
          <cell r="G328">
            <v>138</v>
          </cell>
          <cell r="H328">
            <v>43136</v>
          </cell>
          <cell r="I328" t="str">
            <v>AYUDA TEMPORAL A LAS FAMILIAS DE VARIAS LOCALIDADES, PARA RELOCALIZACIÓN DE HOGARES LOCALIZADOS EN ZONAS DE ALTO RIESGO NO MITIGABLE ID:2014-Q04-01188, LOCALIDAD:19 CIUDAD BOLÍVAR, UPZ:67 LUCERO, SECTOR:PEÑA COLORADA</v>
          </cell>
          <cell r="J328">
            <v>3157315</v>
          </cell>
          <cell r="K328">
            <v>0</v>
          </cell>
          <cell r="L328">
            <v>3157315</v>
          </cell>
          <cell r="M328">
            <v>1804180</v>
          </cell>
          <cell r="N328">
            <v>1353135</v>
          </cell>
        </row>
        <row r="329">
          <cell r="A329">
            <v>395</v>
          </cell>
          <cell r="B329">
            <v>677</v>
          </cell>
          <cell r="C329">
            <v>43136</v>
          </cell>
          <cell r="D329" t="str">
            <v>PATRICIA  D ORTA CAMACHO</v>
          </cell>
          <cell r="E329">
            <v>31</v>
          </cell>
          <cell r="F329" t="str">
            <v>RESOLUCION</v>
          </cell>
          <cell r="G329">
            <v>139</v>
          </cell>
          <cell r="H329">
            <v>43136</v>
          </cell>
          <cell r="I329" t="str">
            <v>AYUDA TEMPORAL A LAS FAMILIAS DE VARIAS LOCALIDADES, PARA RELOCALIZACIÓN DE HOGARES LOCALIZADOS EN ZONAS DE ALTO RIESGO NO MITIGABLE ID:2012-4-14531, LOCALIDAD:04 SAN CRISTÓBAL, UPZ:32 SAN BLAS</v>
          </cell>
          <cell r="J329">
            <v>6367530</v>
          </cell>
          <cell r="K329">
            <v>0</v>
          </cell>
          <cell r="L329">
            <v>6367530</v>
          </cell>
          <cell r="M329">
            <v>1959240</v>
          </cell>
          <cell r="N329">
            <v>4408290</v>
          </cell>
        </row>
        <row r="330">
          <cell r="A330">
            <v>395</v>
          </cell>
          <cell r="B330">
            <v>678</v>
          </cell>
          <cell r="C330">
            <v>43136</v>
          </cell>
          <cell r="D330" t="str">
            <v>EUDORO  HERNANDEZ TORRES</v>
          </cell>
          <cell r="E330">
            <v>31</v>
          </cell>
          <cell r="F330" t="str">
            <v>RESOLUCION</v>
          </cell>
          <cell r="G330">
            <v>140</v>
          </cell>
          <cell r="H330">
            <v>43136</v>
          </cell>
          <cell r="I330" t="str">
            <v>AYUDA TEMPORAL A LAS FAMILIAS DE VARIAS LOCALIDADES, PARA RELOCALIZACIÓN DE HOGARES LOCALIZADOS EN ZONAS DE ALTO RIESGO NO MITIGABLE ID:2015-ALES-537, LOCALIDAD:19 CIUDAD BOLÍVAR, UPZ:69 ISMAEL PERDOMO, SECTOR:ALTOS DE LA ESTANCIA</v>
          </cell>
          <cell r="J330">
            <v>3718092</v>
          </cell>
          <cell r="K330">
            <v>0</v>
          </cell>
          <cell r="L330">
            <v>3718092</v>
          </cell>
          <cell r="M330">
            <v>2124624</v>
          </cell>
          <cell r="N330">
            <v>1593468</v>
          </cell>
        </row>
        <row r="331">
          <cell r="A331">
            <v>395</v>
          </cell>
          <cell r="B331">
            <v>679</v>
          </cell>
          <cell r="C331">
            <v>43136</v>
          </cell>
          <cell r="D331" t="str">
            <v>NIDIA  RODRIGUEZ ALONSO</v>
          </cell>
          <cell r="E331">
            <v>31</v>
          </cell>
          <cell r="F331" t="str">
            <v>RESOLUCION</v>
          </cell>
          <cell r="G331">
            <v>141</v>
          </cell>
          <cell r="H331">
            <v>43136</v>
          </cell>
          <cell r="I331" t="str">
            <v>AYUDA TEMPORAL A LAS FAMILIAS DE VARIAS LOCALIDADES, PARA RELOCALIZACIÓN DE HOGARES LOCALIZADOS EN ZONAS DE ALTO RIESGO NO MITIGABLE ID:2010-4-11938, LOCALIDAD:04 SAN CRISTÓBAL, UPZ:32 SAN BLAS, SECTOR:OLA INVERNAL 2010 FOPAE</v>
          </cell>
          <cell r="J331">
            <v>2788569</v>
          </cell>
          <cell r="K331">
            <v>0</v>
          </cell>
          <cell r="L331">
            <v>2788569</v>
          </cell>
          <cell r="M331">
            <v>1593468</v>
          </cell>
          <cell r="N331">
            <v>1195101</v>
          </cell>
        </row>
        <row r="332">
          <cell r="A332">
            <v>395</v>
          </cell>
          <cell r="B332">
            <v>680</v>
          </cell>
          <cell r="C332">
            <v>43136</v>
          </cell>
          <cell r="D332" t="str">
            <v>MARIA DEL CARMEN MANCILLA LADINO</v>
          </cell>
          <cell r="E332">
            <v>31</v>
          </cell>
          <cell r="F332" t="str">
            <v>RESOLUCION</v>
          </cell>
          <cell r="G332">
            <v>142</v>
          </cell>
          <cell r="H332">
            <v>43136</v>
          </cell>
          <cell r="I332" t="str">
            <v>AYUDA TEMPORAL A LAS FAMILIAS DE VARIAS LOCALIDADES, PARA RELOCALIZACIÓN DE HOGARES LOCALIZADOS EN ZONAS DE ALTO RIESGO NO MITIGABLE ID:2013-Q04-00299, LOCALIDAD:19 CIUDAD BOLÍVAR, UPZ:67 LUCERO, SECTOR:PEÑA COLORADA</v>
          </cell>
          <cell r="J332">
            <v>3017000</v>
          </cell>
          <cell r="K332">
            <v>0</v>
          </cell>
          <cell r="L332">
            <v>3017000</v>
          </cell>
          <cell r="M332">
            <v>1724000</v>
          </cell>
          <cell r="N332">
            <v>1293000</v>
          </cell>
        </row>
        <row r="333">
          <cell r="A333">
            <v>395</v>
          </cell>
          <cell r="B333">
            <v>681</v>
          </cell>
          <cell r="C333">
            <v>43136</v>
          </cell>
          <cell r="D333" t="str">
            <v>JOSE ANTONIO BAÑOL</v>
          </cell>
          <cell r="E333">
            <v>31</v>
          </cell>
          <cell r="F333" t="str">
            <v>RESOLUCION</v>
          </cell>
          <cell r="G333">
            <v>143</v>
          </cell>
          <cell r="H333">
            <v>43136</v>
          </cell>
          <cell r="I333" t="str">
            <v>AYUDA TEMPORAL A LAS FAMILIAS DE VARIAS LOCALIDADES, PARA RELOCALIZACIÓN DE HOGARES LOCALIZADOS EN ZONAS DE ALTO RIESGO NO MITIGABLE ID:2016-08-14839, LOCALIDAD:08 KENNEDY, UPZ:82 PATIO BONITO, SECTOR:PALMITAS</v>
          </cell>
          <cell r="J333">
            <v>6722183</v>
          </cell>
          <cell r="K333">
            <v>0</v>
          </cell>
          <cell r="L333">
            <v>6722183</v>
          </cell>
          <cell r="M333">
            <v>2068364</v>
          </cell>
          <cell r="N333">
            <v>4653819</v>
          </cell>
        </row>
        <row r="334">
          <cell r="A334">
            <v>395</v>
          </cell>
          <cell r="B334">
            <v>682</v>
          </cell>
          <cell r="C334">
            <v>43136</v>
          </cell>
          <cell r="D334" t="str">
            <v>LEIDY YISELA REYES SANHABRIA</v>
          </cell>
          <cell r="E334">
            <v>31</v>
          </cell>
          <cell r="F334" t="str">
            <v>RESOLUCION</v>
          </cell>
          <cell r="G334">
            <v>144</v>
          </cell>
          <cell r="H334">
            <v>43136</v>
          </cell>
          <cell r="I334" t="str">
            <v>AYUDA TEMPORAL A LAS FAMILIAS DE VARIAS LOCALIDADES, PARA RELOCALIZACIÓN DE HOGARES LOCALIZADOS EN ZONAS DE ALTO RIESGO NO MITIGABLE ID:2014-OTR-00959, LOCALIDAD:19 CIUDAD BOLÍVAR, UPZ:67 LUCERO, SECTOR:TABOR ALTALOMA</v>
          </cell>
          <cell r="J334">
            <v>3017000</v>
          </cell>
          <cell r="K334">
            <v>0</v>
          </cell>
          <cell r="L334">
            <v>3017000</v>
          </cell>
          <cell r="M334">
            <v>1724000</v>
          </cell>
          <cell r="N334">
            <v>1293000</v>
          </cell>
        </row>
        <row r="335">
          <cell r="A335">
            <v>395</v>
          </cell>
          <cell r="B335">
            <v>683</v>
          </cell>
          <cell r="C335">
            <v>43136</v>
          </cell>
          <cell r="D335" t="str">
            <v>OLGA LUCIA VARGAS ARCHILA</v>
          </cell>
          <cell r="E335">
            <v>31</v>
          </cell>
          <cell r="F335" t="str">
            <v>RESOLUCION</v>
          </cell>
          <cell r="G335">
            <v>145</v>
          </cell>
          <cell r="H335">
            <v>43136</v>
          </cell>
          <cell r="I335" t="str">
            <v>AYUDA TEMPORAL A LAS FAMILIAS DE VARIAS LOCALIDADES, PARA RELOCALIZACIÓN DE HOGARES LOCALIZADOS EN ZONAS DE ALTO RIESGO NO MITIGABLE ID:2014-4-14714, LOCALIDAD:04 SAN CRISTÓBAL, UPZ:50 LA GLORIA</v>
          </cell>
          <cell r="J335">
            <v>3022327</v>
          </cell>
          <cell r="K335">
            <v>0</v>
          </cell>
          <cell r="L335">
            <v>3022327</v>
          </cell>
          <cell r="M335">
            <v>1295283</v>
          </cell>
          <cell r="N335">
            <v>1727044</v>
          </cell>
        </row>
        <row r="336">
          <cell r="A336">
            <v>395</v>
          </cell>
          <cell r="B336">
            <v>684</v>
          </cell>
          <cell r="C336">
            <v>43136</v>
          </cell>
          <cell r="D336" t="str">
            <v>JENNY CAROLINA ADAMES TAUTA</v>
          </cell>
          <cell r="E336">
            <v>31</v>
          </cell>
          <cell r="F336" t="str">
            <v>RESOLUCION</v>
          </cell>
          <cell r="G336">
            <v>146</v>
          </cell>
          <cell r="H336">
            <v>43136</v>
          </cell>
          <cell r="I336" t="str">
            <v>AYUDA TEMPORAL A LAS FAMILIAS DE VARIAS LOCALIDADES, PARA RELOCALIZACIÓN DE HOGARES LOCALIZADOS EN ZONAS DE ALTO RIESGO NO MITIGABLE ID:2016-08-14853, LOCALIDAD:08 KENNEDY, UPZ:82 PATIO BONITO, SECTOR:PALMITAS</v>
          </cell>
          <cell r="J336">
            <v>6905028</v>
          </cell>
          <cell r="K336">
            <v>0</v>
          </cell>
          <cell r="L336">
            <v>6905028</v>
          </cell>
          <cell r="M336">
            <v>2124624</v>
          </cell>
          <cell r="N336">
            <v>4780404</v>
          </cell>
        </row>
        <row r="337">
          <cell r="A337">
            <v>395</v>
          </cell>
          <cell r="B337">
            <v>685</v>
          </cell>
          <cell r="C337">
            <v>43136</v>
          </cell>
          <cell r="D337" t="str">
            <v>MARIA ISLANDA LOPEZ GRACIA</v>
          </cell>
          <cell r="E337">
            <v>31</v>
          </cell>
          <cell r="F337" t="str">
            <v>RESOLUCION</v>
          </cell>
          <cell r="G337">
            <v>147</v>
          </cell>
          <cell r="H337">
            <v>43136</v>
          </cell>
          <cell r="I337" t="str">
            <v>AYUDA TEMPORAL A LAS FAMILIAS DE VARIAS LOCALIDADES, PARA RELOCALIZACIÓN DE HOGARES LOCALIZADOS EN ZONAS DE ALTO RIESGO NO MITIGABLE ID:2003-19-5161, LOCALIDAD:19 CIUDAD BOLÍVAR, UPZ:69 ISMAEL PERDOMO, SECTOR:ALTOS DE LA ESTANCIA</v>
          </cell>
          <cell r="J337">
            <v>3374280</v>
          </cell>
          <cell r="K337">
            <v>2410200</v>
          </cell>
          <cell r="L337">
            <v>964080</v>
          </cell>
          <cell r="M337">
            <v>964080</v>
          </cell>
          <cell r="N337">
            <v>0</v>
          </cell>
        </row>
        <row r="338">
          <cell r="A338">
            <v>395</v>
          </cell>
          <cell r="B338">
            <v>686</v>
          </cell>
          <cell r="C338">
            <v>43136</v>
          </cell>
          <cell r="D338" t="str">
            <v>JOSE AUGUSTO MARTINEZ BAENA</v>
          </cell>
          <cell r="E338">
            <v>31</v>
          </cell>
          <cell r="F338" t="str">
            <v>RESOLUCION</v>
          </cell>
          <cell r="G338">
            <v>148</v>
          </cell>
          <cell r="H338">
            <v>43136</v>
          </cell>
          <cell r="I338" t="str">
            <v>AYUDA TEMPORAL A LAS FAMILIAS DE VARIAS LOCALIDADES, PARA RELOCALIZACIÓN DE HOGARES LOCALIZADOS EN ZONAS DE ALTO RIESGO NO MITIGABLE ID:2015-D227-00007, LOCALIDAD:04 SAN CRISTÓBAL, UPZ:51 LOS LIBERTADORES, SECTOR:SANTA TERESITA</v>
          </cell>
          <cell r="J338">
            <v>6617325</v>
          </cell>
          <cell r="K338">
            <v>0</v>
          </cell>
          <cell r="L338">
            <v>6617325</v>
          </cell>
          <cell r="M338">
            <v>2036100</v>
          </cell>
          <cell r="N338">
            <v>4581225</v>
          </cell>
        </row>
        <row r="339">
          <cell r="A339">
            <v>395</v>
          </cell>
          <cell r="B339">
            <v>687</v>
          </cell>
          <cell r="C339">
            <v>43136</v>
          </cell>
          <cell r="D339" t="str">
            <v>JOSE ALBERTO REINA SICUA</v>
          </cell>
          <cell r="E339">
            <v>31</v>
          </cell>
          <cell r="F339" t="str">
            <v>RESOLUCION</v>
          </cell>
          <cell r="G339">
            <v>149</v>
          </cell>
          <cell r="H339">
            <v>43136</v>
          </cell>
          <cell r="I339" t="str">
            <v>AYUDA TEMPORAL A LAS FAMILIAS DE VARIAS LOCALIDADES, PARA RELOCALIZACIÓN DE HOGARES LOCALIZADOS EN ZONAS DE ALTO RIESGO NO MITIGABLE ID:2013000376, LOCALIDAD:19 CIUDAD BOLÍVAR, UPZ:67 LUCERO, SECTOR:PEÑA COLORADA</v>
          </cell>
          <cell r="J339">
            <v>3017000</v>
          </cell>
          <cell r="K339">
            <v>0</v>
          </cell>
          <cell r="L339">
            <v>3017000</v>
          </cell>
          <cell r="M339">
            <v>1724000</v>
          </cell>
          <cell r="N339">
            <v>1293000</v>
          </cell>
        </row>
        <row r="340">
          <cell r="A340">
            <v>395</v>
          </cell>
          <cell r="B340">
            <v>688</v>
          </cell>
          <cell r="C340">
            <v>43136</v>
          </cell>
          <cell r="D340" t="str">
            <v>MARIA ADELIA LOPEZ QUINTERO</v>
          </cell>
          <cell r="E340">
            <v>31</v>
          </cell>
          <cell r="F340" t="str">
            <v>RESOLUCION</v>
          </cell>
          <cell r="G340">
            <v>150</v>
          </cell>
          <cell r="H340">
            <v>43136</v>
          </cell>
          <cell r="I340" t="str">
            <v>AYUDA TEMPORAL A LAS FAMILIAS DE VARIAS LOCALIDADES, PARA RELOCALIZACIÓN DE HOGARES LOCALIZADOS EN ZONAS DE ALTO RIESGO NO MITIGABLE ID:2012-19-13791, LOCALIDAD:19 CIUDAD BOLÍVAR, UPZ:67 LUCERO</v>
          </cell>
          <cell r="J340">
            <v>2924376</v>
          </cell>
          <cell r="K340">
            <v>0</v>
          </cell>
          <cell r="L340">
            <v>2924376</v>
          </cell>
          <cell r="M340">
            <v>1671072</v>
          </cell>
          <cell r="N340">
            <v>1253304</v>
          </cell>
        </row>
        <row r="341">
          <cell r="A341">
            <v>395</v>
          </cell>
          <cell r="B341">
            <v>689</v>
          </cell>
          <cell r="C341">
            <v>43136</v>
          </cell>
          <cell r="D341" t="str">
            <v>GRECIA VERONICA PACHON GUTIERREZ</v>
          </cell>
          <cell r="E341">
            <v>31</v>
          </cell>
          <cell r="F341" t="str">
            <v>RESOLUCION</v>
          </cell>
          <cell r="G341">
            <v>151</v>
          </cell>
          <cell r="H341">
            <v>43136</v>
          </cell>
          <cell r="I341" t="str">
            <v>AYUDA TEMPORAL A LAS FAMILIAS DE VARIAS LOCALIDADES, PARA RELOCALIZACIÓN DE HOGARES LOCALIZADOS EN ZONAS DE ALTO RIESGO NO MITIGABLE ID:2014-OTR-00968, LOCALIDAD:19 CIUDAD BOLÍVAR, UPZ:67 LUCERO, SECTOR:TABOR ALTALOMA</v>
          </cell>
          <cell r="J341">
            <v>3614814</v>
          </cell>
          <cell r="K341">
            <v>0</v>
          </cell>
          <cell r="L341">
            <v>3614814</v>
          </cell>
          <cell r="M341">
            <v>1549206</v>
          </cell>
          <cell r="N341">
            <v>2065608</v>
          </cell>
        </row>
        <row r="342">
          <cell r="A342">
            <v>395</v>
          </cell>
          <cell r="B342">
            <v>690</v>
          </cell>
          <cell r="C342">
            <v>43136</v>
          </cell>
          <cell r="D342" t="str">
            <v>JOSE HERMINSO MENDOZA GUISA</v>
          </cell>
          <cell r="E342">
            <v>31</v>
          </cell>
          <cell r="F342" t="str">
            <v>RESOLUCION</v>
          </cell>
          <cell r="G342">
            <v>152</v>
          </cell>
          <cell r="H342">
            <v>43136</v>
          </cell>
          <cell r="I342" t="str">
            <v>AYUDA TEMPORAL A LAS FAMILIAS DE VARIAS LOCALIDADES, PARA RELOCALIZACIÓN DE HOGARES LOCALIZADOS EN ZONAS DE ALTO RIESGO NO MITIGABLE ID:2007-4-10150, LOCALIDAD:04 SAN CRISTÓBAL, UPZ:32 SAN BLAS</v>
          </cell>
          <cell r="J342">
            <v>2788569</v>
          </cell>
          <cell r="K342">
            <v>0</v>
          </cell>
          <cell r="L342">
            <v>2788569</v>
          </cell>
          <cell r="M342">
            <v>1593468</v>
          </cell>
          <cell r="N342">
            <v>1195101</v>
          </cell>
        </row>
        <row r="343">
          <cell r="A343">
            <v>395</v>
          </cell>
          <cell r="B343">
            <v>691</v>
          </cell>
          <cell r="C343">
            <v>43136</v>
          </cell>
          <cell r="D343" t="str">
            <v>JOSE GREGORIO MARTINEZ ACOSTA</v>
          </cell>
          <cell r="E343">
            <v>31</v>
          </cell>
          <cell r="F343" t="str">
            <v>RESOLUCION</v>
          </cell>
          <cell r="G343">
            <v>153</v>
          </cell>
          <cell r="H343">
            <v>43136</v>
          </cell>
          <cell r="I343" t="str">
            <v>AYUDA TEMPORAL A LAS FAMILIAS DE VARIAS LOCALIDADES, PARA RELOCALIZACIÓN DE HOGARES LOCALIZADOS EN ZONAS DE ALTO RIESGO NO MITIGABLE ID:2016-08-14808, LOCALIDAD:08 KENNEDY, UPZ:82 PATIO BONITO, SECTOR:PALMITAS</v>
          </cell>
          <cell r="J343">
            <v>2992227</v>
          </cell>
          <cell r="K343">
            <v>2137305</v>
          </cell>
          <cell r="L343">
            <v>854922</v>
          </cell>
          <cell r="M343">
            <v>854922</v>
          </cell>
          <cell r="N343">
            <v>0</v>
          </cell>
        </row>
        <row r="344">
          <cell r="A344">
            <v>395</v>
          </cell>
          <cell r="B344">
            <v>692</v>
          </cell>
          <cell r="C344">
            <v>43136</v>
          </cell>
          <cell r="D344" t="str">
            <v>SANDRA PATRICIA CARILLO VILLOTA</v>
          </cell>
          <cell r="E344">
            <v>31</v>
          </cell>
          <cell r="F344" t="str">
            <v>RESOLUCION</v>
          </cell>
          <cell r="G344">
            <v>154</v>
          </cell>
          <cell r="H344">
            <v>43136</v>
          </cell>
          <cell r="I344" t="str">
            <v>AYUDA TEMPORAL A LAS FAMILIAS DE VARIAS LOCALIDADES, PARA RELOCALIZACIÓN DE HOGARES LOCALIZADOS EN ZONAS DE ALTO RIESGO NO MITIGABLE ID:2014-Q04-01105, LOCALIDAD:19 CIUDAD BOLÍVAR, UPZ:67 LUCERO, SECTOR:PEÑA COLORADA</v>
          </cell>
          <cell r="J344">
            <v>3157315</v>
          </cell>
          <cell r="K344">
            <v>0</v>
          </cell>
          <cell r="L344">
            <v>3157315</v>
          </cell>
          <cell r="M344">
            <v>1804180</v>
          </cell>
          <cell r="N344">
            <v>1353135</v>
          </cell>
        </row>
        <row r="345">
          <cell r="A345">
            <v>395</v>
          </cell>
          <cell r="B345">
            <v>693</v>
          </cell>
          <cell r="C345">
            <v>43136</v>
          </cell>
          <cell r="D345" t="str">
            <v>LUZ ANGELA GARCIA</v>
          </cell>
          <cell r="E345">
            <v>31</v>
          </cell>
          <cell r="F345" t="str">
            <v>RESOLUCION</v>
          </cell>
          <cell r="G345">
            <v>155</v>
          </cell>
          <cell r="H345">
            <v>43136</v>
          </cell>
          <cell r="I345" t="str">
            <v>AYUDA TEMPORAL A LAS FAMILIAS DE VARIAS LOCALIDADES, PARA RELOCALIZACIÓN DE HOGARES LOCALIZADOS EN ZONAS DE ALTO RIESGO NO MITIGABLE ID:2010-19-11755, LOCALIDAD:19 CIUDAD BOLÍVAR, UPZ:69 ISMAEL PERDOMO, SECTOR:ALTOS DE LA ESTANCIA - OLA INVERNAL 2010 FOPAE</v>
          </cell>
          <cell r="J345">
            <v>5430984</v>
          </cell>
          <cell r="K345">
            <v>0</v>
          </cell>
          <cell r="L345">
            <v>5430984</v>
          </cell>
          <cell r="M345">
            <v>1671072</v>
          </cell>
          <cell r="N345">
            <v>3759912</v>
          </cell>
        </row>
        <row r="346">
          <cell r="A346">
            <v>395</v>
          </cell>
          <cell r="B346">
            <v>694</v>
          </cell>
          <cell r="C346">
            <v>43136</v>
          </cell>
          <cell r="D346" t="str">
            <v>LIGIA MARYELY SANHABRIA ZAPATA</v>
          </cell>
          <cell r="E346">
            <v>31</v>
          </cell>
          <cell r="F346" t="str">
            <v>RESOLUCION</v>
          </cell>
          <cell r="G346">
            <v>156</v>
          </cell>
          <cell r="H346">
            <v>43136</v>
          </cell>
          <cell r="I346" t="str">
            <v>AYUDA TEMPORAL A LAS FAMILIAS DE VARIAS LOCALIDADES, PARA RELOCALIZACIÓN DE HOGARES LOCALIZADOS EN ZONAS DE ALTO RIESGO NO MITIGABLE ID:2015-OTR-01295, LOCALIDAD:19 CIUDAD BOLÍVAR, UPZ:67 LUCERO, SECTOR:TABOR ALTALOMA</v>
          </cell>
          <cell r="J346">
            <v>3157315</v>
          </cell>
          <cell r="K346">
            <v>0</v>
          </cell>
          <cell r="L346">
            <v>3157315</v>
          </cell>
          <cell r="M346">
            <v>1804180</v>
          </cell>
          <cell r="N346">
            <v>1353135</v>
          </cell>
        </row>
        <row r="347">
          <cell r="A347">
            <v>395</v>
          </cell>
          <cell r="B347">
            <v>695</v>
          </cell>
          <cell r="C347">
            <v>43136</v>
          </cell>
          <cell r="D347" t="str">
            <v>MARIA ISABEL VELASQUEZ GARCIA</v>
          </cell>
          <cell r="E347">
            <v>31</v>
          </cell>
          <cell r="F347" t="str">
            <v>RESOLUCION</v>
          </cell>
          <cell r="G347">
            <v>332</v>
          </cell>
          <cell r="H347">
            <v>43136</v>
          </cell>
          <cell r="I347" t="str">
            <v>AYUDA TEMPORAL A LAS FAMILIAS DE VARIAS LOCALIDADES, PARA RELOCALIZACIÓN DE HOGARES LOCALIZADOS EN ZONAS DE ALTO RIESGO NO MITIGABLE ID:2014-OTR-00977, LOCALIDAD:19 CIUDAD BOLÍVAR, UPZ:67 LUCERO, SECTOR:TABOR ALTALOMA</v>
          </cell>
          <cell r="J347">
            <v>4986969</v>
          </cell>
          <cell r="K347">
            <v>0</v>
          </cell>
          <cell r="L347">
            <v>4986969</v>
          </cell>
          <cell r="M347">
            <v>1534452</v>
          </cell>
          <cell r="N347">
            <v>3452517</v>
          </cell>
        </row>
        <row r="348">
          <cell r="A348">
            <v>395</v>
          </cell>
          <cell r="B348">
            <v>696</v>
          </cell>
          <cell r="C348">
            <v>43136</v>
          </cell>
          <cell r="D348" t="str">
            <v>ROSA YOHANA DELGADO LOPEZ</v>
          </cell>
          <cell r="E348">
            <v>31</v>
          </cell>
          <cell r="F348" t="str">
            <v>RESOLUCION</v>
          </cell>
          <cell r="G348">
            <v>325</v>
          </cell>
          <cell r="H348">
            <v>43136</v>
          </cell>
          <cell r="I348" t="str">
            <v>AYUDA TEMPORAL A LAS FAMILIAS DE VARIAS LOCALIDADES, PARA RELOCALIZACIÓN DE HOGARES LOCALIZADOS EN ZONAS DE ALTO RIESGO NO MITIGABLE ID:2014-OTR-00881, LOCALIDAD:03 SANTA FE, UPZ:96 LOURDES, SECTOR:CASA 2</v>
          </cell>
          <cell r="J348">
            <v>2551518</v>
          </cell>
          <cell r="K348">
            <v>0</v>
          </cell>
          <cell r="L348">
            <v>2551518</v>
          </cell>
          <cell r="M348">
            <v>1275759</v>
          </cell>
          <cell r="N348">
            <v>1275759</v>
          </cell>
        </row>
        <row r="349">
          <cell r="A349">
            <v>395</v>
          </cell>
          <cell r="B349">
            <v>697</v>
          </cell>
          <cell r="C349">
            <v>43136</v>
          </cell>
          <cell r="D349" t="str">
            <v>ROSA AIDE OSORIO SOTO</v>
          </cell>
          <cell r="E349">
            <v>31</v>
          </cell>
          <cell r="F349" t="str">
            <v>RESOLUCION</v>
          </cell>
          <cell r="G349">
            <v>326</v>
          </cell>
          <cell r="H349">
            <v>43136</v>
          </cell>
          <cell r="I349" t="str">
            <v>AYUDA TEMPORAL A LAS FAMILIAS DE VARIAS LOCALIDADES, PARA RELOCALIZACIÓN DE HOGARES LOCALIZADOS EN ZONAS DE ALTO RIESGO NO MITIGABLE ID:2011-4-12638, LOCALIDAD:04 SAN CRISTÓBAL, UPZ:32 SAN BLAS</v>
          </cell>
          <cell r="J349">
            <v>2213148</v>
          </cell>
          <cell r="K349">
            <v>0</v>
          </cell>
          <cell r="L349">
            <v>2213148</v>
          </cell>
          <cell r="M349">
            <v>1106574</v>
          </cell>
          <cell r="N349">
            <v>1106574</v>
          </cell>
        </row>
        <row r="350">
          <cell r="A350">
            <v>395</v>
          </cell>
          <cell r="B350">
            <v>698</v>
          </cell>
          <cell r="C350">
            <v>43136</v>
          </cell>
          <cell r="D350" t="str">
            <v>OSCAR ALEXANDER BARRERA GROSSO</v>
          </cell>
          <cell r="E350">
            <v>31</v>
          </cell>
          <cell r="F350" t="str">
            <v>RESOLUCION</v>
          </cell>
          <cell r="G350">
            <v>273</v>
          </cell>
          <cell r="H350">
            <v>43136</v>
          </cell>
          <cell r="I350" t="str">
            <v>AYUDA TEMPORAL A LAS FAMILIAS DE VARIAS LOCALIDADES, PARA RELOCALIZACIÓN DE HOGARES LOCALIZADOS EN ZONAS DE ALTO RIESGO NO MITIGABLE ID:2013-3-14686, LOCALIDAD:03 SANTA FE, UPZ:94 LA CANDELARIA</v>
          </cell>
          <cell r="J350">
            <v>2845920</v>
          </cell>
          <cell r="K350">
            <v>0</v>
          </cell>
          <cell r="L350">
            <v>2845920</v>
          </cell>
          <cell r="M350">
            <v>1219680</v>
          </cell>
          <cell r="N350">
            <v>1626240</v>
          </cell>
        </row>
        <row r="351">
          <cell r="A351">
            <v>395</v>
          </cell>
          <cell r="B351">
            <v>699</v>
          </cell>
          <cell r="C351">
            <v>43136</v>
          </cell>
          <cell r="D351" t="str">
            <v>INGRIT PAOLA PARADA RUEDA</v>
          </cell>
          <cell r="E351">
            <v>31</v>
          </cell>
          <cell r="F351" t="str">
            <v>RESOLUCION</v>
          </cell>
          <cell r="G351">
            <v>274</v>
          </cell>
          <cell r="H351">
            <v>43136</v>
          </cell>
          <cell r="I351" t="str">
            <v>AYUDA TEMPORAL A LAS FAMILIAS DE VARIAS LOCALIDADES, PARA RELOCALIZACIÓN DE HOGARES LOCALIZADOS EN ZONAS DE ALTO RIESGO NO MITIGABLE ID:2014-OTR-01246, LOCALIDAD:11 SUBA, UPZ:71 TIBABUYES, SECTOR:GAVILANES</v>
          </cell>
          <cell r="J351">
            <v>7672262</v>
          </cell>
          <cell r="K351">
            <v>0</v>
          </cell>
          <cell r="L351">
            <v>7672262</v>
          </cell>
          <cell r="M351">
            <v>2360696</v>
          </cell>
          <cell r="N351">
            <v>5311566</v>
          </cell>
        </row>
        <row r="352">
          <cell r="A352">
            <v>395</v>
          </cell>
          <cell r="B352">
            <v>701</v>
          </cell>
          <cell r="C352">
            <v>43136</v>
          </cell>
          <cell r="D352" t="str">
            <v>DIEGO  CABEZON MERCAZA</v>
          </cell>
          <cell r="E352">
            <v>31</v>
          </cell>
          <cell r="F352" t="str">
            <v>RESOLUCION</v>
          </cell>
          <cell r="G352">
            <v>276</v>
          </cell>
          <cell r="H352">
            <v>43136</v>
          </cell>
          <cell r="I352" t="str">
            <v>AYUDA TEMPORAL A LAS FAMILIAS DE VARIAS LOCALIDADES, PARA RELOCALIZACIÓN DE HOGARES LOCALIZADOS EN ZONAS DE ALTO RIESGO NO MITIGABLE ID:2014-W166-041, LOCALIDAD:19 CIUDAD BOLÍVAR, UPZ:68 EL TESORO, SECTOR:WOUNAAN</v>
          </cell>
          <cell r="J352">
            <v>5285280</v>
          </cell>
          <cell r="K352">
            <v>0</v>
          </cell>
          <cell r="L352">
            <v>5285280</v>
          </cell>
          <cell r="M352">
            <v>1626240</v>
          </cell>
          <cell r="N352">
            <v>3659040</v>
          </cell>
        </row>
        <row r="353">
          <cell r="A353">
            <v>395</v>
          </cell>
          <cell r="B353">
            <v>702</v>
          </cell>
          <cell r="C353">
            <v>43136</v>
          </cell>
          <cell r="D353" t="str">
            <v>RAUL DARIO AREVALO SALINAS</v>
          </cell>
          <cell r="E353">
            <v>31</v>
          </cell>
          <cell r="F353" t="str">
            <v>RESOLUCION</v>
          </cell>
          <cell r="G353">
            <v>277</v>
          </cell>
          <cell r="H353">
            <v>43136</v>
          </cell>
          <cell r="I353" t="str">
            <v>AYUDA TEMPORAL A LAS FAMILIAS DE VARIAS LOCALIDADES, PARA RELOCALIZACIÓN DE HOGARES LOCALIZADOS EN ZONAS DE ALTO RIESGO NO MITIGABLE ID:2012-4-14198, LOCALIDAD:04 SAN CRISTÓBAL, UPZ:32 SAN BLAS</v>
          </cell>
          <cell r="J353">
            <v>6483048</v>
          </cell>
          <cell r="K353">
            <v>0</v>
          </cell>
          <cell r="L353">
            <v>6483048</v>
          </cell>
          <cell r="M353">
            <v>1994784</v>
          </cell>
          <cell r="N353">
            <v>4488264</v>
          </cell>
        </row>
        <row r="354">
          <cell r="A354">
            <v>395</v>
          </cell>
          <cell r="B354">
            <v>703</v>
          </cell>
          <cell r="C354">
            <v>43136</v>
          </cell>
          <cell r="D354" t="str">
            <v>CANDIDA GLORIA BERNAL DE RICO</v>
          </cell>
          <cell r="E354">
            <v>31</v>
          </cell>
          <cell r="F354" t="str">
            <v>RESOLUCION</v>
          </cell>
          <cell r="G354">
            <v>278</v>
          </cell>
          <cell r="H354">
            <v>43136</v>
          </cell>
          <cell r="I354" t="str">
            <v>AYUDA TEMPORAL A LAS FAMILIAS DE VARIAS LOCALIDADES, PARA RELOCALIZACIÓN DE HOGARES LOCALIZADOS EN ZONAS DE ALTO RIESGO NO MITIGABLE ID:2012-4-14202, LOCALIDAD:04 SAN CRISTÓBAL, UPZ:32 SAN BLAS</v>
          </cell>
          <cell r="J354">
            <v>5746338</v>
          </cell>
          <cell r="K354">
            <v>0</v>
          </cell>
          <cell r="L354">
            <v>5746338</v>
          </cell>
          <cell r="M354">
            <v>1768104</v>
          </cell>
          <cell r="N354">
            <v>3978234</v>
          </cell>
        </row>
        <row r="355">
          <cell r="A355">
            <v>395</v>
          </cell>
          <cell r="B355">
            <v>704</v>
          </cell>
          <cell r="C355">
            <v>43136</v>
          </cell>
          <cell r="D355" t="str">
            <v>GLORIA INES ESPINOSA DE OCAMPO</v>
          </cell>
          <cell r="E355">
            <v>31</v>
          </cell>
          <cell r="F355" t="str">
            <v>RESOLUCION</v>
          </cell>
          <cell r="G355">
            <v>279</v>
          </cell>
          <cell r="H355">
            <v>43136</v>
          </cell>
          <cell r="I355" t="str">
            <v>AYUDA TEMPORAL A LAS FAMILIAS DE VARIAS LOCALIDADES, PARA RELOCALIZACIÓN DE HOGARES LOCALIZADOS EN ZONAS DE ALTO RIESGO NO MITIGABLE ID:2013000562, LOCALIDAD:05 USME, UPZ:56 DANUBIO, SECTOR:HOYA DEL RAMO</v>
          </cell>
          <cell r="J355">
            <v>3201695</v>
          </cell>
          <cell r="K355">
            <v>0</v>
          </cell>
          <cell r="L355">
            <v>3201695</v>
          </cell>
          <cell r="M355">
            <v>1829540</v>
          </cell>
          <cell r="N355">
            <v>1372155</v>
          </cell>
        </row>
        <row r="356">
          <cell r="A356">
            <v>395</v>
          </cell>
          <cell r="B356">
            <v>705</v>
          </cell>
          <cell r="C356">
            <v>43136</v>
          </cell>
          <cell r="D356" t="str">
            <v>LIBIA YANETH VARELA ROJAS</v>
          </cell>
          <cell r="E356">
            <v>31</v>
          </cell>
          <cell r="F356" t="str">
            <v>RESOLUCION</v>
          </cell>
          <cell r="G356">
            <v>280</v>
          </cell>
          <cell r="H356">
            <v>43136</v>
          </cell>
          <cell r="I356" t="str">
            <v>AYUDA TEMPORAL A LAS FAMILIAS DE VARIAS LOCALIDADES, PARA RELOCALIZACIÓN DE HOGARES LOCALIZADOS EN ZONAS DE ALTO RIESGO NO MITIGABLE ID:2010-4-11976, LOCALIDAD:04 SAN CRISTÓBAL, UPZ:32 SAN BLAS, SECTOR:OLA INVERNAL 2010 FOPAE</v>
          </cell>
          <cell r="J356">
            <v>5754190</v>
          </cell>
          <cell r="K356">
            <v>0</v>
          </cell>
          <cell r="L356">
            <v>5754190</v>
          </cell>
          <cell r="M356">
            <v>1770520</v>
          </cell>
          <cell r="N356">
            <v>3983670</v>
          </cell>
        </row>
        <row r="357">
          <cell r="A357">
            <v>395</v>
          </cell>
          <cell r="B357">
            <v>706</v>
          </cell>
          <cell r="C357">
            <v>43136</v>
          </cell>
          <cell r="D357" t="str">
            <v>LEIDY SUSANA OSORIO QUINTERO</v>
          </cell>
          <cell r="E357">
            <v>31</v>
          </cell>
          <cell r="F357" t="str">
            <v>RESOLUCION</v>
          </cell>
          <cell r="G357">
            <v>281</v>
          </cell>
          <cell r="H357">
            <v>43136</v>
          </cell>
          <cell r="I357" t="str">
            <v>AYUDA TEMPORAL A LAS FAMILIAS DE VARIAS LOCALIDADES, PARA RELOCALIZACIÓN DE HOGARES LOCALIZADOS EN ZONAS DE ALTO RIESGO NO MITIGABLE ID:2016-08-14780, LOCALIDAD:08 KENNEDY, UPZ:82 PATIO BONITO, SECTOR:PALMITAS</v>
          </cell>
          <cell r="J357">
            <v>5946005</v>
          </cell>
          <cell r="K357">
            <v>0</v>
          </cell>
          <cell r="L357">
            <v>5946005</v>
          </cell>
          <cell r="M357">
            <v>1829540</v>
          </cell>
          <cell r="N357">
            <v>4116465</v>
          </cell>
        </row>
        <row r="358">
          <cell r="A358">
            <v>395</v>
          </cell>
          <cell r="B358">
            <v>707</v>
          </cell>
          <cell r="C358">
            <v>43136</v>
          </cell>
          <cell r="D358" t="str">
            <v>BLANCA INES REINA PRIETO</v>
          </cell>
          <cell r="E358">
            <v>31</v>
          </cell>
          <cell r="F358" t="str">
            <v>RESOLUCION</v>
          </cell>
          <cell r="G358">
            <v>282</v>
          </cell>
          <cell r="H358">
            <v>43136</v>
          </cell>
          <cell r="I358" t="str">
            <v>AYUDA TEMPORAL A LAS FAMILIAS DE VARIAS LOCALIDADES, PARA RELOCALIZACIÓN DE HOGARES LOCALIZADOS EN ZONAS DE ALTO RIESGO NO MITIGABLE ID:2013-4-14607, LOCALIDAD:04 SAN CRISTÓBAL, UPZ:32 SAN BLAS</v>
          </cell>
          <cell r="J358">
            <v>4795154</v>
          </cell>
          <cell r="K358">
            <v>0</v>
          </cell>
          <cell r="L358">
            <v>4795154</v>
          </cell>
          <cell r="M358">
            <v>1475432</v>
          </cell>
          <cell r="N358">
            <v>3319722</v>
          </cell>
        </row>
        <row r="359">
          <cell r="A359">
            <v>395</v>
          </cell>
          <cell r="B359">
            <v>708</v>
          </cell>
          <cell r="C359">
            <v>43136</v>
          </cell>
          <cell r="D359" t="str">
            <v>MARCO TULIO PRIAS VILLABON</v>
          </cell>
          <cell r="E359">
            <v>31</v>
          </cell>
          <cell r="F359" t="str">
            <v>RESOLUCION</v>
          </cell>
          <cell r="G359">
            <v>283</v>
          </cell>
          <cell r="H359">
            <v>43136</v>
          </cell>
          <cell r="I359" t="str">
            <v>AYUDA TEMPORAL A LAS FAMILIAS DE VARIAS LOCALIDADES, PARA RELOCALIZACIÓN DE HOGARES LOCALIZADOS EN ZONAS DE ALTO RIESGO NO MITIGABLE ID:2014-OTR-00955, LOCALIDAD:19 CIUDAD BOLÍVAR, UPZ:67 LUCERO, SECTOR:TABOR ALTALOMA</v>
          </cell>
          <cell r="J359">
            <v>3017000</v>
          </cell>
          <cell r="K359">
            <v>0</v>
          </cell>
          <cell r="L359">
            <v>3017000</v>
          </cell>
          <cell r="M359">
            <v>1724000</v>
          </cell>
          <cell r="N359">
            <v>1293000</v>
          </cell>
        </row>
        <row r="360">
          <cell r="A360">
            <v>395</v>
          </cell>
          <cell r="B360">
            <v>709</v>
          </cell>
          <cell r="C360">
            <v>43136</v>
          </cell>
          <cell r="D360" t="str">
            <v>BRANDON CAMILO VILLALOBOS HIGUERA</v>
          </cell>
          <cell r="E360">
            <v>31</v>
          </cell>
          <cell r="F360" t="str">
            <v>RESOLUCION</v>
          </cell>
          <cell r="G360">
            <v>284</v>
          </cell>
          <cell r="H360">
            <v>43136</v>
          </cell>
          <cell r="I360" t="str">
            <v>AYUDA TEMPORAL A LAS FAMILIAS DE VARIAS LOCALIDADES, PARA RELOCALIZACIÓN DE HOGARES LOCALIZADOS EN ZONAS DE ALTO RIESGO NO MITIGABLE ID:2016-08-14821, LOCALIDAD:08 KENNEDY, UPZ:82 PATIO BONITO, SECTOR:PALMITAS</v>
          </cell>
          <cell r="J360">
            <v>7192744</v>
          </cell>
          <cell r="K360">
            <v>0</v>
          </cell>
          <cell r="L360">
            <v>7192744</v>
          </cell>
          <cell r="M360">
            <v>2213152</v>
          </cell>
          <cell r="N360">
            <v>4979592</v>
          </cell>
        </row>
        <row r="361">
          <cell r="A361">
            <v>395</v>
          </cell>
          <cell r="B361">
            <v>710</v>
          </cell>
          <cell r="C361">
            <v>43136</v>
          </cell>
          <cell r="D361" t="str">
            <v>NORBERTO  GARCIA VILLEGAS</v>
          </cell>
          <cell r="E361">
            <v>31</v>
          </cell>
          <cell r="F361" t="str">
            <v>RESOLUCION</v>
          </cell>
          <cell r="G361">
            <v>285</v>
          </cell>
          <cell r="H361">
            <v>43136</v>
          </cell>
          <cell r="I361" t="str">
            <v>AYUDA TEMPORAL A LAS FAMILIAS DE VARIAS LOCALIDADES, PARA RELOCALIZACIÓN DE HOGARES LOCALIZADOS EN ZONAS DE ALTO RIESGO NO MITIGABLE ID:2003-19-4838, LOCALIDAD:19 CIUDAD BOLÍVAR, UPZ:69 ISMAEL PERDOMO, SECTOR:ALTOS DE LA ESTANCIA</v>
          </cell>
          <cell r="J361">
            <v>4795154</v>
          </cell>
          <cell r="K361">
            <v>0</v>
          </cell>
          <cell r="L361">
            <v>4795154</v>
          </cell>
          <cell r="M361">
            <v>1475432</v>
          </cell>
          <cell r="N361">
            <v>3319722</v>
          </cell>
        </row>
        <row r="362">
          <cell r="A362">
            <v>395</v>
          </cell>
          <cell r="B362">
            <v>711</v>
          </cell>
          <cell r="C362">
            <v>43136</v>
          </cell>
          <cell r="D362" t="str">
            <v>LEIDY JOHANA GUTIERREZ ABELLO</v>
          </cell>
          <cell r="E362">
            <v>31</v>
          </cell>
          <cell r="F362" t="str">
            <v>RESOLUCION</v>
          </cell>
          <cell r="G362">
            <v>286</v>
          </cell>
          <cell r="H362">
            <v>43136</v>
          </cell>
          <cell r="I362" t="str">
            <v>AYUDA TEMPORAL A LAS FAMILIAS DE VARIAS LOCALIDADES, PARA RELOCALIZACIÓN DE HOGARES LOCALIZADOS EN ZONAS DE ALTO RIESGO NO MITIGABLE ID:2010-19-11937, LOCALIDAD:19 CIUDAD BOLÍVAR, UPZ:67 LUCERO, SECTOR:LIMAS</v>
          </cell>
          <cell r="J362">
            <v>2845920</v>
          </cell>
          <cell r="K362">
            <v>0</v>
          </cell>
          <cell r="L362">
            <v>2845920</v>
          </cell>
          <cell r="M362">
            <v>1626240</v>
          </cell>
          <cell r="N362">
            <v>1219680</v>
          </cell>
        </row>
        <row r="363">
          <cell r="A363">
            <v>395</v>
          </cell>
          <cell r="B363">
            <v>712</v>
          </cell>
          <cell r="C363">
            <v>43136</v>
          </cell>
          <cell r="D363" t="str">
            <v>JOSE ALIRIO CHIRIMIA ISMARY</v>
          </cell>
          <cell r="E363">
            <v>31</v>
          </cell>
          <cell r="F363" t="str">
            <v>RESOLUCION</v>
          </cell>
          <cell r="G363">
            <v>287</v>
          </cell>
          <cell r="H363">
            <v>43136</v>
          </cell>
          <cell r="I363" t="str">
            <v>AYUDA TEMPORAL A LAS FAMILIAS DE VARIAS LOCALIDADES, PARA RELOCALIZACIÓN DE HOGARES LOCALIZADOS EN ZONAS DE ALTO RIESGO NO MITIGABLE ID:2015-W166-215, LOCALIDAD:04 SAN CRISTÓBAL, UPZ:33 SOSIEGO, SECTOR:EPERARA</v>
          </cell>
          <cell r="J363">
            <v>5525975</v>
          </cell>
          <cell r="K363">
            <v>0</v>
          </cell>
          <cell r="L363">
            <v>5525975</v>
          </cell>
          <cell r="M363">
            <v>1700300</v>
          </cell>
          <cell r="N363">
            <v>3825675</v>
          </cell>
        </row>
        <row r="364">
          <cell r="A364">
            <v>395</v>
          </cell>
          <cell r="B364">
            <v>713</v>
          </cell>
          <cell r="C364">
            <v>43136</v>
          </cell>
          <cell r="D364" t="str">
            <v>MARIA ESMERALDA MARTINEZ</v>
          </cell>
          <cell r="E364">
            <v>31</v>
          </cell>
          <cell r="F364" t="str">
            <v>RESOLUCION</v>
          </cell>
          <cell r="G364">
            <v>288</v>
          </cell>
          <cell r="H364">
            <v>43136</v>
          </cell>
          <cell r="I364" t="str">
            <v>AYUDA TEMPORAL A LAS FAMILIAS DE VARIAS LOCALIDADES, PARA RELOCALIZACIÓN DE HOGARES LOCALIZADOS EN ZONAS DE ALTO RIESGO NO MITIGABLE ID:2013-Q10-00306, LOCALIDAD:19 CIUDAD BOLÍVAR, UPZ:67 LUCERO, SECTOR:PEÑA COLORADA</v>
          </cell>
          <cell r="J364">
            <v>5361707</v>
          </cell>
          <cell r="K364">
            <v>0</v>
          </cell>
          <cell r="L364">
            <v>5361707</v>
          </cell>
          <cell r="M364">
            <v>1649756</v>
          </cell>
          <cell r="N364">
            <v>3711951</v>
          </cell>
        </row>
        <row r="365">
          <cell r="A365">
            <v>395</v>
          </cell>
          <cell r="B365">
            <v>714</v>
          </cell>
          <cell r="C365">
            <v>43136</v>
          </cell>
          <cell r="D365" t="str">
            <v>ALBEIRO  OSORIO SARCO</v>
          </cell>
          <cell r="E365">
            <v>31</v>
          </cell>
          <cell r="F365" t="str">
            <v>RESOLUCION</v>
          </cell>
          <cell r="G365">
            <v>289</v>
          </cell>
          <cell r="H365">
            <v>43136</v>
          </cell>
          <cell r="I365" t="str">
            <v>AYUDA TEMPORAL A LAS FAMILIAS DE VARIAS LOCALIDADES, PARA RELOCALIZACIÓN DE HOGARES LOCALIZADOS EN ZONAS DE ALTO RIESGO NO MITIGABLE ID:2014-W166-009, LOCALIDAD:19 CIUDAD BOLÍVAR, UPZ:67 LUCERO, SECTOR:WOUNAAN</v>
          </cell>
          <cell r="J365">
            <v>6274034</v>
          </cell>
          <cell r="K365">
            <v>0</v>
          </cell>
          <cell r="L365">
            <v>6274034</v>
          </cell>
          <cell r="M365">
            <v>1930472</v>
          </cell>
          <cell r="N365">
            <v>4343562</v>
          </cell>
        </row>
        <row r="366">
          <cell r="A366">
            <v>395</v>
          </cell>
          <cell r="B366">
            <v>715</v>
          </cell>
          <cell r="C366">
            <v>43136</v>
          </cell>
          <cell r="D366" t="str">
            <v>JHON JAIRO MOYA PIRAZA</v>
          </cell>
          <cell r="E366">
            <v>31</v>
          </cell>
          <cell r="F366" t="str">
            <v>RESOLUCION</v>
          </cell>
          <cell r="G366">
            <v>290</v>
          </cell>
          <cell r="H366">
            <v>43136</v>
          </cell>
          <cell r="I366" t="str">
            <v>AYUDA TEMPORAL A LAS FAMILIAS DE VARIAS LOCALIDADES, PARA RELOCALIZACIÓN DE HOGARES LOCALIZADOS EN ZONAS DE ALTO RIESGO NO MITIGABLE ID:2014-W166-068, LOCALIDAD:19 CIUDAD BOLÍVAR, UPZ:68 EL TESORO, SECTOR:WOUNAAN</v>
          </cell>
          <cell r="J366">
            <v>6274034</v>
          </cell>
          <cell r="K366">
            <v>0</v>
          </cell>
          <cell r="L366">
            <v>6274034</v>
          </cell>
          <cell r="M366">
            <v>1930472</v>
          </cell>
          <cell r="N366">
            <v>4343562</v>
          </cell>
        </row>
        <row r="367">
          <cell r="A367">
            <v>395</v>
          </cell>
          <cell r="B367">
            <v>716</v>
          </cell>
          <cell r="C367">
            <v>43136</v>
          </cell>
          <cell r="D367" t="str">
            <v>MARIA NILSA GRUESO DURA</v>
          </cell>
          <cell r="E367">
            <v>31</v>
          </cell>
          <cell r="F367" t="str">
            <v>RESOLUCION</v>
          </cell>
          <cell r="G367">
            <v>291</v>
          </cell>
          <cell r="H367">
            <v>43136</v>
          </cell>
          <cell r="I367" t="str">
            <v>AYUDA TEMPORAL A LAS FAMILIAS DE VARIAS LOCALIDADES, PARA RELOCALIZACIÓN DE HOGARES LOCALIZADOS EN ZONAS DE ALTO RIESGO NO MITIGABLE ID:2015-W166-214, LOCALIDAD:04 SAN CRISTÓBAL, UPZ:33 SOSIEGO, SECTOR:EPERARA</v>
          </cell>
          <cell r="J367">
            <v>5825885</v>
          </cell>
          <cell r="K367">
            <v>0</v>
          </cell>
          <cell r="L367">
            <v>5825885</v>
          </cell>
          <cell r="M367">
            <v>1792580</v>
          </cell>
          <cell r="N367">
            <v>4033305</v>
          </cell>
        </row>
        <row r="368">
          <cell r="A368">
            <v>395</v>
          </cell>
          <cell r="B368">
            <v>717</v>
          </cell>
          <cell r="C368">
            <v>43136</v>
          </cell>
          <cell r="D368" t="str">
            <v>LIDIA RUTH DAZA BUSTOS</v>
          </cell>
          <cell r="E368">
            <v>31</v>
          </cell>
          <cell r="F368" t="str">
            <v>RESOLUCION</v>
          </cell>
          <cell r="G368">
            <v>292</v>
          </cell>
          <cell r="H368">
            <v>43136</v>
          </cell>
          <cell r="I368" t="str">
            <v>AYUDA TEMPORAL A LAS FAMILIAS DE VARIAS LOCALIDADES, PARA RELOCALIZACIÓN DE HOGARES LOCALIZADOS EN ZONAS DE ALTO RIESGO NO MITIGABLE ID:2014-Q04-00915, LOCALIDAD:19 CIUDAD BOLÍVAR, UPZ:67 LUCERO, SECTOR:PEÑA COLORADA</v>
          </cell>
          <cell r="J368">
            <v>3098403</v>
          </cell>
          <cell r="K368">
            <v>0</v>
          </cell>
          <cell r="L368">
            <v>3098403</v>
          </cell>
          <cell r="M368">
            <v>1770516</v>
          </cell>
          <cell r="N368">
            <v>1327887</v>
          </cell>
        </row>
        <row r="369">
          <cell r="A369">
            <v>395</v>
          </cell>
          <cell r="B369">
            <v>718</v>
          </cell>
          <cell r="C369">
            <v>43136</v>
          </cell>
          <cell r="D369" t="str">
            <v>DAVID  MOÑA ISMARE</v>
          </cell>
          <cell r="E369">
            <v>31</v>
          </cell>
          <cell r="F369" t="str">
            <v>RESOLUCION</v>
          </cell>
          <cell r="G369">
            <v>293</v>
          </cell>
          <cell r="H369">
            <v>43136</v>
          </cell>
          <cell r="I369" t="str">
            <v>AYUDA TEMPORAL A LAS FAMILIAS DE VARIAS LOCALIDADES, PARA RELOCALIZACIÓN DE HOGARES LOCALIZADOS EN ZONAS DE ALTO RIESGO NO MITIGABLE ID:2015-W166-512, LOCALIDAD:19 CIUDAD BOLÍVAR, UPZ:67 LUCERO, SECTOR:WOUNAAN</v>
          </cell>
          <cell r="J369">
            <v>6868797</v>
          </cell>
          <cell r="K369">
            <v>0</v>
          </cell>
          <cell r="L369">
            <v>6868797</v>
          </cell>
          <cell r="M369">
            <v>2113476</v>
          </cell>
          <cell r="N369">
            <v>4755321</v>
          </cell>
        </row>
        <row r="370">
          <cell r="A370">
            <v>395</v>
          </cell>
          <cell r="B370">
            <v>719</v>
          </cell>
          <cell r="C370">
            <v>43136</v>
          </cell>
          <cell r="D370" t="str">
            <v>GLADYS  MUÑOZ SANTUARIO</v>
          </cell>
          <cell r="E370">
            <v>31</v>
          </cell>
          <cell r="F370" t="str">
            <v>RESOLUCION</v>
          </cell>
          <cell r="G370">
            <v>275</v>
          </cell>
          <cell r="H370">
            <v>43136</v>
          </cell>
          <cell r="I370" t="str">
            <v>AYUDA TEMPORAL A LAS FAMILIAS DE VARIAS LOCALIDADES, PARA RELOCALIZACIÓN DE HOGARES LOCALIZADOS EN ZONAS DE ALTO RIESGO NO MITIGABLE ID:2012-19-13937, LOCALIDAD:19 CIUDAD BOLÍVAR, UPZ:67 LUCERO</v>
          </cell>
          <cell r="J370">
            <v>3112599</v>
          </cell>
          <cell r="K370">
            <v>0</v>
          </cell>
          <cell r="L370">
            <v>3112599</v>
          </cell>
          <cell r="M370">
            <v>889314</v>
          </cell>
          <cell r="N370">
            <v>2223285</v>
          </cell>
        </row>
        <row r="371">
          <cell r="A371">
            <v>395</v>
          </cell>
          <cell r="B371">
            <v>720</v>
          </cell>
          <cell r="C371">
            <v>43136</v>
          </cell>
          <cell r="D371" t="str">
            <v>MILENA ESTELA CETINA CADENA</v>
          </cell>
          <cell r="E371">
            <v>31</v>
          </cell>
          <cell r="F371" t="str">
            <v>RESOLUCION</v>
          </cell>
          <cell r="G371">
            <v>294</v>
          </cell>
          <cell r="H371">
            <v>43136</v>
          </cell>
          <cell r="I371" t="str">
            <v>AYUDA TEMPORAL A LAS FAMILIAS DE VARIAS LOCALIDADES, PARA RELOCALIZACIÓN DE HOGARES LOCALIZADOS EN ZONAS DE ALTO RIESGO NO MITIGABLE ID:2013-Q09-00178, LOCALIDAD:19 CIUDAD BOLÍVAR, UPZ:67 LUCERO, SECTOR:QUEBRADA TROMPETA</v>
          </cell>
          <cell r="J371">
            <v>5603000</v>
          </cell>
          <cell r="K371">
            <v>4310000</v>
          </cell>
          <cell r="L371">
            <v>1293000</v>
          </cell>
          <cell r="M371">
            <v>1293000</v>
          </cell>
          <cell r="N371">
            <v>0</v>
          </cell>
        </row>
        <row r="372">
          <cell r="A372">
            <v>395</v>
          </cell>
          <cell r="B372">
            <v>721</v>
          </cell>
          <cell r="C372">
            <v>43136</v>
          </cell>
          <cell r="D372" t="str">
            <v>GONZALO  ROCHA</v>
          </cell>
          <cell r="E372">
            <v>31</v>
          </cell>
          <cell r="F372" t="str">
            <v>RESOLUCION</v>
          </cell>
          <cell r="G372">
            <v>295</v>
          </cell>
          <cell r="H372">
            <v>43136</v>
          </cell>
          <cell r="I372" t="str">
            <v>AYUDA TEMPORAL A LAS FAMILIAS DE VARIAS LOCALIDADES, PARA RELOCALIZACIÓN DE HOGARES LOCALIZADOS EN ZONAS DE ALTO RIESGO NO MITIGABLE ID:2011-18-13554, LOCALIDAD:18 RAFAEL URIBE URIBE, UPZ:54 MARRUECOS</v>
          </cell>
          <cell r="J372">
            <v>4795154</v>
          </cell>
          <cell r="K372">
            <v>0</v>
          </cell>
          <cell r="L372">
            <v>4795154</v>
          </cell>
          <cell r="M372">
            <v>1475432</v>
          </cell>
          <cell r="N372">
            <v>3319722</v>
          </cell>
        </row>
        <row r="373">
          <cell r="A373">
            <v>395</v>
          </cell>
          <cell r="B373">
            <v>722</v>
          </cell>
          <cell r="C373">
            <v>43136</v>
          </cell>
          <cell r="D373" t="str">
            <v>MARIA ADELA LESMES PALACIOS</v>
          </cell>
          <cell r="E373">
            <v>31</v>
          </cell>
          <cell r="F373" t="str">
            <v>RESOLUCION</v>
          </cell>
          <cell r="G373">
            <v>296</v>
          </cell>
          <cell r="H373">
            <v>43136</v>
          </cell>
          <cell r="I373" t="str">
            <v>AYUDA TEMPORAL A LAS FAMILIAS DE VARIAS LOCALIDADES, PARA RELOCALIZACIÓN DE HOGARES LOCALIZADOS EN ZONAS DE ALTO RIESGO NO MITIGABLE ID:2011-18-13660, LOCALIDAD:18 RAFAEL URIBE URIBE, UPZ:54 MARRUECOS</v>
          </cell>
          <cell r="J373">
            <v>3299296</v>
          </cell>
          <cell r="K373">
            <v>0</v>
          </cell>
          <cell r="L373">
            <v>3299296</v>
          </cell>
          <cell r="M373">
            <v>942656</v>
          </cell>
          <cell r="N373">
            <v>2356640</v>
          </cell>
        </row>
        <row r="374">
          <cell r="A374">
            <v>395</v>
          </cell>
          <cell r="B374">
            <v>724</v>
          </cell>
          <cell r="C374">
            <v>43136</v>
          </cell>
          <cell r="D374" t="str">
            <v>YUDY MARCELA CIFUENTES RODRIGUEZ</v>
          </cell>
          <cell r="E374">
            <v>31</v>
          </cell>
          <cell r="F374" t="str">
            <v>RESOLUCION</v>
          </cell>
          <cell r="G374">
            <v>297</v>
          </cell>
          <cell r="H374">
            <v>43136</v>
          </cell>
          <cell r="I374" t="str">
            <v>AYUDA TEMPORAL A LAS FAMILIAS DE VARIAS LOCALIDADES, PARA RELOCALIZACIÓN DE HOGARES LOCALIZADOS EN ZONAS DE ALTO RIESGO NO MITIGABLE ID:2016-08-14879, LOCALIDAD:08 KENNEDY, UPZ:82 PATIO BONITO, SECTOR:PALMITAS</v>
          </cell>
          <cell r="J374">
            <v>5946005</v>
          </cell>
          <cell r="K374">
            <v>0</v>
          </cell>
          <cell r="L374">
            <v>5946005</v>
          </cell>
          <cell r="M374">
            <v>1829540</v>
          </cell>
          <cell r="N374">
            <v>4116465</v>
          </cell>
        </row>
        <row r="375">
          <cell r="A375">
            <v>395</v>
          </cell>
          <cell r="B375">
            <v>725</v>
          </cell>
          <cell r="C375">
            <v>43136</v>
          </cell>
          <cell r="D375" t="str">
            <v>LAURY  CAICEDO MEJIA</v>
          </cell>
          <cell r="E375">
            <v>31</v>
          </cell>
          <cell r="F375" t="str">
            <v>RESOLUCION</v>
          </cell>
          <cell r="G375">
            <v>298</v>
          </cell>
          <cell r="H375">
            <v>43136</v>
          </cell>
          <cell r="I375" t="str">
            <v>AYUDA TEMPORAL A LAS FAMILIAS DE VARIAS LOCALIDADES, PARA RELOCALIZACIÓN DE HOGARES LOCALIZADOS EN ZONAS DE ALTO RIESGO NO MITIGABLE ID:2015-W166-523, LOCALIDAD:03 SANTA FE, UPZ:95 LAS CRUCES, SECTOR:UITOTO</v>
          </cell>
          <cell r="J375">
            <v>7287618</v>
          </cell>
          <cell r="K375">
            <v>0</v>
          </cell>
          <cell r="L375">
            <v>7287618</v>
          </cell>
          <cell r="M375">
            <v>2242344</v>
          </cell>
          <cell r="N375">
            <v>5045274</v>
          </cell>
        </row>
        <row r="376">
          <cell r="A376">
            <v>395</v>
          </cell>
          <cell r="B376">
            <v>726</v>
          </cell>
          <cell r="C376">
            <v>43136</v>
          </cell>
          <cell r="D376" t="str">
            <v>JAIME ALBERTO FANDIÑO FORERO</v>
          </cell>
          <cell r="E376">
            <v>31</v>
          </cell>
          <cell r="F376" t="str">
            <v>RESOLUCION</v>
          </cell>
          <cell r="G376">
            <v>299</v>
          </cell>
          <cell r="H376">
            <v>43136</v>
          </cell>
          <cell r="I376" t="str">
            <v>AYUDA TEMPORAL A LAS FAMILIAS DE VARIAS LOCALIDADES, PARA RELOCALIZACIÓN DE HOGARES LOCALIZADOS EN ZONAS DE ALTO RIESGO NO MITIGABLE ID:2007-4-9372, LOCALIDAD:04 SAN CRISTÓBAL, UPZ:32 SAN BLAS</v>
          </cell>
          <cell r="J376">
            <v>5658289</v>
          </cell>
          <cell r="K376">
            <v>0</v>
          </cell>
          <cell r="L376">
            <v>5658289</v>
          </cell>
          <cell r="M376">
            <v>1741012</v>
          </cell>
          <cell r="N376">
            <v>3917277</v>
          </cell>
        </row>
        <row r="377">
          <cell r="A377">
            <v>395</v>
          </cell>
          <cell r="B377">
            <v>727</v>
          </cell>
          <cell r="C377">
            <v>43136</v>
          </cell>
          <cell r="D377" t="str">
            <v>DIANA CAROLINA CACERES PEÑALOZA</v>
          </cell>
          <cell r="E377">
            <v>31</v>
          </cell>
          <cell r="F377" t="str">
            <v>RESOLUCION</v>
          </cell>
          <cell r="G377">
            <v>300</v>
          </cell>
          <cell r="H377">
            <v>43136</v>
          </cell>
          <cell r="I377" t="str">
            <v>AYUDA TEMPORAL A LAS FAMILIAS DE VARIAS LOCALIDADES, PARA RELOCALIZACIÓN DE HOGARES LOCALIZADOS EN ZONAS DE ALTO RIESGO NO MITIGABLE ID:2016-08-14788, LOCALIDAD:08 KENNEDY, UPZ:82 PATIO BONITO, SECTOR:PALMITAS</v>
          </cell>
          <cell r="J377">
            <v>7672262</v>
          </cell>
          <cell r="K377">
            <v>0</v>
          </cell>
          <cell r="L377">
            <v>7672262</v>
          </cell>
          <cell r="M377">
            <v>2360696</v>
          </cell>
          <cell r="N377">
            <v>5311566</v>
          </cell>
        </row>
        <row r="378">
          <cell r="A378">
            <v>395</v>
          </cell>
          <cell r="B378">
            <v>728</v>
          </cell>
          <cell r="C378">
            <v>43136</v>
          </cell>
          <cell r="D378" t="str">
            <v>BLANCA CECILIA BENAVIDES</v>
          </cell>
          <cell r="E378">
            <v>31</v>
          </cell>
          <cell r="F378" t="str">
            <v>RESOLUCION</v>
          </cell>
          <cell r="G378">
            <v>301</v>
          </cell>
          <cell r="H378">
            <v>43136</v>
          </cell>
          <cell r="I378" t="str">
            <v>AYUDA TEMPORAL A LAS FAMILIAS DE VARIAS LOCALIDADES, PARA RELOCALIZACIÓN DE HOGARES LOCALIZADOS EN ZONAS DE ALTO RIESGO NO MITIGABLE ID:2011-4-12708, LOCALIDAD:04 SAN CRISTÓBAL, UPZ:32 SAN BLAS</v>
          </cell>
          <cell r="J378">
            <v>2213148</v>
          </cell>
          <cell r="K378">
            <v>0</v>
          </cell>
          <cell r="L378">
            <v>2213148</v>
          </cell>
          <cell r="M378">
            <v>1106574</v>
          </cell>
          <cell r="N378">
            <v>1106574</v>
          </cell>
        </row>
        <row r="379">
          <cell r="A379">
            <v>395</v>
          </cell>
          <cell r="B379">
            <v>729</v>
          </cell>
          <cell r="C379">
            <v>43136</v>
          </cell>
          <cell r="D379" t="str">
            <v>LUIS  CRUZ DELGADO</v>
          </cell>
          <cell r="E379">
            <v>31</v>
          </cell>
          <cell r="F379" t="str">
            <v>RESOLUCION</v>
          </cell>
          <cell r="G379">
            <v>302</v>
          </cell>
          <cell r="H379">
            <v>43136</v>
          </cell>
          <cell r="I379" t="str">
            <v>AYUDA TEMPORAL A LAS FAMILIAS DE VARIAS LOCALIDADES, PARA RELOCALIZACIÓN DE HOGARES LOCALIZADOS EN ZONAS DE ALTO RIESGO NO MITIGABLE ID:2003-19-5136, LOCALIDAD:19 CIUDAD BOLÍVAR, UPZ:69 ISMAEL PERDOMO, SECTOR:ALTOS DE LA ESTANCIA</v>
          </cell>
          <cell r="J379">
            <v>3098412</v>
          </cell>
          <cell r="K379">
            <v>0</v>
          </cell>
          <cell r="L379">
            <v>3098412</v>
          </cell>
          <cell r="M379">
            <v>1549206</v>
          </cell>
          <cell r="N379">
            <v>1549206</v>
          </cell>
        </row>
        <row r="380">
          <cell r="A380">
            <v>395</v>
          </cell>
          <cell r="B380">
            <v>730</v>
          </cell>
          <cell r="C380">
            <v>43136</v>
          </cell>
          <cell r="D380" t="str">
            <v>GLORIA  SANCHEZ DE SANCHEZ</v>
          </cell>
          <cell r="E380">
            <v>31</v>
          </cell>
          <cell r="F380" t="str">
            <v>RESOLUCION</v>
          </cell>
          <cell r="G380">
            <v>303</v>
          </cell>
          <cell r="H380">
            <v>43136</v>
          </cell>
          <cell r="I380" t="str">
            <v>AYUDA TEMPORAL A LAS FAMILIAS DE VARIAS LOCALIDADES, PARA RELOCALIZACIÓN DE HOGARES LOCALIZADOS EN ZONAS DE ALTO RIESGO NO MITIGABLE ID:2011-4-12684, LOCALIDAD:04 SAN CRISTÓBAL, UPZ:32 SAN BLAS</v>
          </cell>
          <cell r="J380">
            <v>2706492</v>
          </cell>
          <cell r="K380">
            <v>0</v>
          </cell>
          <cell r="L380">
            <v>2706492</v>
          </cell>
          <cell r="M380">
            <v>1353246</v>
          </cell>
          <cell r="N380">
            <v>1353246</v>
          </cell>
        </row>
        <row r="381">
          <cell r="A381">
            <v>395</v>
          </cell>
          <cell r="B381">
            <v>731</v>
          </cell>
          <cell r="C381">
            <v>43136</v>
          </cell>
          <cell r="D381" t="str">
            <v>ANA MILENA JIMENEZ VARGAS</v>
          </cell>
          <cell r="E381">
            <v>31</v>
          </cell>
          <cell r="F381" t="str">
            <v>RESOLUCION</v>
          </cell>
          <cell r="G381">
            <v>304</v>
          </cell>
          <cell r="H381">
            <v>43136</v>
          </cell>
          <cell r="I381" t="str">
            <v>AYUDA TEMPORAL A LAS FAMILIAS DE VARIAS LOCALIDADES, PARA RELOCALIZACIÓN DE HOGARES LOCALIZADOS EN ZONAS DE ALTO RIESGO NO MITIGABLE ID:2014-OTR-00867, LOCALIDAD:03 SANTA FE, UPZ:96 LOURDES, SECTOR:CASA 1</v>
          </cell>
          <cell r="J381">
            <v>2550450</v>
          </cell>
          <cell r="K381">
            <v>0</v>
          </cell>
          <cell r="L381">
            <v>2550450</v>
          </cell>
          <cell r="M381">
            <v>1275225</v>
          </cell>
          <cell r="N381">
            <v>1275225</v>
          </cell>
        </row>
        <row r="382">
          <cell r="A382">
            <v>395</v>
          </cell>
          <cell r="B382">
            <v>732</v>
          </cell>
          <cell r="C382">
            <v>43136</v>
          </cell>
          <cell r="D382" t="str">
            <v>MARTHA LILIANA SANCHEZ SANCHEZ</v>
          </cell>
          <cell r="E382">
            <v>31</v>
          </cell>
          <cell r="F382" t="str">
            <v>RESOLUCION</v>
          </cell>
          <cell r="G382">
            <v>305</v>
          </cell>
          <cell r="H382">
            <v>43136</v>
          </cell>
          <cell r="I382" t="str">
            <v>AYUDA TEMPORAL A LAS FAMILIAS DE VARIAS LOCALIDADES, PARA RELOCALIZACIÓN DE HOGARES LOCALIZADOS EN ZONAS DE ALTO RIESGO NO MITIGABLE ID:2011-4-12673, LOCALIDAD:04 SAN CRISTÓBAL, UPZ:32 SAN BLAS</v>
          </cell>
          <cell r="J382">
            <v>2397348</v>
          </cell>
          <cell r="K382">
            <v>0</v>
          </cell>
          <cell r="L382">
            <v>2397348</v>
          </cell>
          <cell r="M382">
            <v>1198674</v>
          </cell>
          <cell r="N382">
            <v>1198674</v>
          </cell>
        </row>
        <row r="383">
          <cell r="A383">
            <v>583</v>
          </cell>
          <cell r="B383">
            <v>733</v>
          </cell>
          <cell r="C383">
            <v>43136</v>
          </cell>
          <cell r="D383" t="str">
            <v>KAREN NATHALIA RODRIGUEZ MORALES</v>
          </cell>
          <cell r="E383">
            <v>31</v>
          </cell>
          <cell r="F383" t="str">
            <v>RESOLUCION</v>
          </cell>
          <cell r="G383">
            <v>514</v>
          </cell>
          <cell r="H383">
            <v>43136</v>
          </cell>
          <cell r="I383" t="str">
            <v>Asignacion del instrumento financiero a las familias ocupantes del predio que hayan superado la fase de verificacion dentro  del marco del Decreto 457 de 2017. LOCALIDAD: KENNEDY; BARRIO: VEREDITAS; ID: 2017-8-383893</v>
          </cell>
          <cell r="J383">
            <v>54686940</v>
          </cell>
          <cell r="K383">
            <v>0</v>
          </cell>
          <cell r="L383">
            <v>54686940</v>
          </cell>
          <cell r="M383">
            <v>0</v>
          </cell>
          <cell r="N383">
            <v>54686940</v>
          </cell>
        </row>
        <row r="384">
          <cell r="A384">
            <v>395</v>
          </cell>
          <cell r="B384">
            <v>734</v>
          </cell>
          <cell r="C384">
            <v>43137</v>
          </cell>
          <cell r="D384" t="str">
            <v>ORLANDO  COTRINA COTRINA</v>
          </cell>
          <cell r="E384">
            <v>31</v>
          </cell>
          <cell r="F384" t="str">
            <v>RESOLUCION</v>
          </cell>
          <cell r="G384">
            <v>306</v>
          </cell>
          <cell r="H384">
            <v>43137</v>
          </cell>
          <cell r="I384" t="str">
            <v>AYUDA TEMPORAL A LAS FAMILIAS DE VARIAS LOCALIDADES, PARA RELOCALIZACIÓN DE HOGARES LOCALIZADOS EN ZONAS DE ALTO RIESGO NO MITIGABLE ID:2015-Q03-03408, LOCALIDAD:19 CIUDAD BOLÍVAR, UPZ:66 SAN FRANCISCO, SECTOR:LIMAS</v>
          </cell>
          <cell r="J384">
            <v>2301678</v>
          </cell>
          <cell r="K384">
            <v>0</v>
          </cell>
          <cell r="L384">
            <v>2301678</v>
          </cell>
          <cell r="M384">
            <v>1150839</v>
          </cell>
          <cell r="N384">
            <v>1150839</v>
          </cell>
        </row>
        <row r="385">
          <cell r="A385">
            <v>395</v>
          </cell>
          <cell r="B385">
            <v>735</v>
          </cell>
          <cell r="C385">
            <v>43137</v>
          </cell>
          <cell r="D385" t="str">
            <v>SANDRA PATRICIA ADAN</v>
          </cell>
          <cell r="E385">
            <v>31</v>
          </cell>
          <cell r="F385" t="str">
            <v>RESOLUCION</v>
          </cell>
          <cell r="G385">
            <v>307</v>
          </cell>
          <cell r="H385">
            <v>43137</v>
          </cell>
          <cell r="I385" t="str">
            <v>AYUDA TEMPORAL A LAS FAMILIAS DE VARIAS LOCALIDADES, PARA RELOCALIZACIÓN DE HOGARES LOCALIZADOS EN ZONAS DE ALTO RIESGO NO MITIGABLE ID:2014-OTR-00870, LOCALIDAD:03 SANTA FE, UPZ:96 LOURDES, SECTOR:CASA 1</v>
          </cell>
          <cell r="J385">
            <v>3091308</v>
          </cell>
          <cell r="K385">
            <v>0</v>
          </cell>
          <cell r="L385">
            <v>3091308</v>
          </cell>
          <cell r="M385">
            <v>1545654</v>
          </cell>
          <cell r="N385">
            <v>1545654</v>
          </cell>
        </row>
        <row r="386">
          <cell r="A386">
            <v>395</v>
          </cell>
          <cell r="B386">
            <v>736</v>
          </cell>
          <cell r="C386">
            <v>43137</v>
          </cell>
          <cell r="D386" t="str">
            <v>DAINA JASMIN NAVARRETE</v>
          </cell>
          <cell r="E386">
            <v>31</v>
          </cell>
          <cell r="F386" t="str">
            <v>RESOLUCION</v>
          </cell>
          <cell r="G386">
            <v>308</v>
          </cell>
          <cell r="H386">
            <v>43137</v>
          </cell>
          <cell r="I386" t="str">
            <v>AYUDA TEMPORAL A LAS FAMILIAS DE VARIAS LOCALIDADES, PARA RELOCALIZACIÓN DE HOGARES LOCALIZADOS EN ZONAS DE ALTO RIESGO NO MITIGABLE ID:2014-OTR-00892, LOCALIDAD:03 SANTA FE, UPZ:96 LOURDES, SECTOR:CASA 3</v>
          </cell>
          <cell r="J386">
            <v>2550450</v>
          </cell>
          <cell r="K386">
            <v>0</v>
          </cell>
          <cell r="L386">
            <v>2550450</v>
          </cell>
          <cell r="M386">
            <v>1275225</v>
          </cell>
          <cell r="N386">
            <v>1275225</v>
          </cell>
        </row>
        <row r="387">
          <cell r="A387">
            <v>395</v>
          </cell>
          <cell r="B387">
            <v>737</v>
          </cell>
          <cell r="C387">
            <v>43137</v>
          </cell>
          <cell r="D387" t="str">
            <v>DORYS MIREYA CAMARGO BUITRAGO</v>
          </cell>
          <cell r="E387">
            <v>31</v>
          </cell>
          <cell r="F387" t="str">
            <v>RESOLUCION</v>
          </cell>
          <cell r="G387">
            <v>309</v>
          </cell>
          <cell r="H387">
            <v>43137</v>
          </cell>
          <cell r="I387" t="str">
            <v>AYUDA TEMPORAL A LAS FAMILIAS DE VARIAS LOCALIDADES, PARA RELOCALIZACIÓN DE HOGARES LOCALIZADOS EN ZONAS DE ALTO RIESGO NO MITIGABLE ID:2011-4-12630, LOCALIDAD:04 SAN CRISTÓBAL, UPZ:32 SAN BLAS</v>
          </cell>
          <cell r="J387">
            <v>2213148</v>
          </cell>
          <cell r="K387">
            <v>0</v>
          </cell>
          <cell r="L387">
            <v>2213148</v>
          </cell>
          <cell r="M387">
            <v>1106574</v>
          </cell>
          <cell r="N387">
            <v>1106574</v>
          </cell>
        </row>
        <row r="388">
          <cell r="A388">
            <v>395</v>
          </cell>
          <cell r="B388">
            <v>738</v>
          </cell>
          <cell r="C388">
            <v>43137</v>
          </cell>
          <cell r="D388" t="str">
            <v>ANGEL IGNACIO GARZON HERNANDEZ</v>
          </cell>
          <cell r="E388">
            <v>31</v>
          </cell>
          <cell r="F388" t="str">
            <v>RESOLUCION</v>
          </cell>
          <cell r="G388">
            <v>310</v>
          </cell>
          <cell r="H388">
            <v>43137</v>
          </cell>
          <cell r="I388" t="str">
            <v>AYUDA TEMPORAL A LAS FAMILIAS DE VARIAS LOCALIDADES, PARA RELOCALIZACIÓN DE HOGARES LOCALIZADOS EN ZONAS DE ALTO RIESGO NO MITIGABLE ID:2011-4-12704, LOCALIDAD:04 SAN CRISTÓBAL, UPZ:32 SAN BLAS</v>
          </cell>
          <cell r="J388">
            <v>2213148</v>
          </cell>
          <cell r="K388">
            <v>0</v>
          </cell>
          <cell r="L388">
            <v>2213148</v>
          </cell>
          <cell r="M388">
            <v>1106574</v>
          </cell>
          <cell r="N388">
            <v>1106574</v>
          </cell>
        </row>
        <row r="389">
          <cell r="A389">
            <v>395</v>
          </cell>
          <cell r="B389">
            <v>739</v>
          </cell>
          <cell r="C389">
            <v>43137</v>
          </cell>
          <cell r="D389" t="str">
            <v>MABEL YADIRA ABRIL</v>
          </cell>
          <cell r="E389">
            <v>31</v>
          </cell>
          <cell r="F389" t="str">
            <v>RESOLUCION</v>
          </cell>
          <cell r="G389">
            <v>311</v>
          </cell>
          <cell r="H389">
            <v>43137</v>
          </cell>
          <cell r="I389" t="str">
            <v>AYUDA TEMPORAL A LAS FAMILIAS DE VARIAS LOCALIDADES, PARA RELOCALIZACIÓN DE HOGARES LOCALIZADOS EN ZONAS DE ALTO RIESGO NO MITIGABLE ID:2015-OTR-01307, LOCALIDAD:19 CIUDAD BOLÍVAR, UPZ:68 EL TESORO, SECTOR:QUEBRADA TROMPETA</v>
          </cell>
          <cell r="J389">
            <v>2975382</v>
          </cell>
          <cell r="K389">
            <v>0</v>
          </cell>
          <cell r="L389">
            <v>2975382</v>
          </cell>
          <cell r="M389">
            <v>1487691</v>
          </cell>
          <cell r="N389">
            <v>1487691</v>
          </cell>
        </row>
        <row r="390">
          <cell r="A390">
            <v>395</v>
          </cell>
          <cell r="B390">
            <v>740</v>
          </cell>
          <cell r="C390">
            <v>43137</v>
          </cell>
          <cell r="D390" t="str">
            <v>YURI ALEJANDRA VISCAYA COPAJITA</v>
          </cell>
          <cell r="E390">
            <v>31</v>
          </cell>
          <cell r="F390" t="str">
            <v>RESOLUCION</v>
          </cell>
          <cell r="G390">
            <v>312</v>
          </cell>
          <cell r="H390">
            <v>43137</v>
          </cell>
          <cell r="I390" t="str">
            <v>AYUDA TEMPORAL A LAS FAMILIAS DE VARIAS LOCALIDADES, PARA RELOCALIZACIÓN DE HOGARES LOCALIZADOS EN ZONAS DE ALTO RIESGO NO MITIGABLE ID:2014-OTR-01214, LOCALIDAD:11 SUBA, UPZ:71 TIBABUYES, SECTOR:GAVILANES</v>
          </cell>
          <cell r="J390">
            <v>2550450</v>
          </cell>
          <cell r="K390">
            <v>0</v>
          </cell>
          <cell r="L390">
            <v>2550450</v>
          </cell>
          <cell r="M390">
            <v>1275225</v>
          </cell>
          <cell r="N390">
            <v>1275225</v>
          </cell>
        </row>
        <row r="391">
          <cell r="A391">
            <v>395</v>
          </cell>
          <cell r="B391">
            <v>741</v>
          </cell>
          <cell r="C391">
            <v>43137</v>
          </cell>
          <cell r="D391" t="str">
            <v>DIEGO FERNANDO TOCANCIPA CORREA</v>
          </cell>
          <cell r="E391">
            <v>31</v>
          </cell>
          <cell r="F391" t="str">
            <v>RESOLUCION</v>
          </cell>
          <cell r="G391">
            <v>313</v>
          </cell>
          <cell r="H391">
            <v>43137</v>
          </cell>
          <cell r="I391" t="str">
            <v>AYUDA TEMPORAL A LAS FAMILIAS DE VARIAS LOCALIDADES, PARA RELOCALIZACIÓN DE HOGARES LOCALIZADOS EN ZONAS DE ALTO RIESGO NO MITIGABLE ID:2016-4-00007, LOCALIDAD:04 SAN CRISTÓBAL, UPZ:32 SAN BLAS, SECTOR:TRIANGULO ALTO</v>
          </cell>
          <cell r="J391">
            <v>2788572</v>
          </cell>
          <cell r="K391">
            <v>0</v>
          </cell>
          <cell r="L391">
            <v>2788572</v>
          </cell>
          <cell r="M391">
            <v>1394286</v>
          </cell>
          <cell r="N391">
            <v>1394286</v>
          </cell>
        </row>
        <row r="392">
          <cell r="A392">
            <v>395</v>
          </cell>
          <cell r="B392">
            <v>742</v>
          </cell>
          <cell r="C392">
            <v>43137</v>
          </cell>
          <cell r="D392" t="str">
            <v>LEONARDO FABIO ROJAS PEREZ</v>
          </cell>
          <cell r="E392">
            <v>31</v>
          </cell>
          <cell r="F392" t="str">
            <v>RESOLUCION</v>
          </cell>
          <cell r="G392">
            <v>314</v>
          </cell>
          <cell r="H392">
            <v>43137</v>
          </cell>
          <cell r="I392" t="str">
            <v>AYUDA TEMPORAL A LAS FAMILIAS DE VARIAS LOCALIDADES, PARA RELOCALIZACIÓN DE HOGARES LOCALIZADOS EN ZONAS DE ALTO RIESGO NO MITIGABLE ID:2014-OTR-00894, LOCALIDAD:03 SANTA FE, UPZ:96 LOURDES, SECTOR:CASA 3</v>
          </cell>
          <cell r="J392">
            <v>3183744</v>
          </cell>
          <cell r="K392">
            <v>0</v>
          </cell>
          <cell r="L392">
            <v>3183744</v>
          </cell>
          <cell r="M392">
            <v>1591872</v>
          </cell>
          <cell r="N392">
            <v>1591872</v>
          </cell>
        </row>
        <row r="393">
          <cell r="A393">
            <v>395</v>
          </cell>
          <cell r="B393">
            <v>743</v>
          </cell>
          <cell r="C393">
            <v>43137</v>
          </cell>
          <cell r="D393" t="str">
            <v>CAMPO ELIAS VELASCO DUARTE</v>
          </cell>
          <cell r="E393">
            <v>31</v>
          </cell>
          <cell r="F393" t="str">
            <v>RESOLUCION</v>
          </cell>
          <cell r="G393">
            <v>315</v>
          </cell>
          <cell r="H393">
            <v>43137</v>
          </cell>
          <cell r="I393" t="str">
            <v>AYUDA TEMPORAL A LAS FAMILIAS DE VARIAS LOCALIDADES, PARA RELOCALIZACIÓN DE HOGARES LOCALIZADOS EN ZONAS DE ALTO RIESGO NO MITIGABLE ID:2014-OTR-01213, LOCALIDAD:11 SUBA, UPZ:71 TIBABUYES, SECTOR:GAVILANES</v>
          </cell>
          <cell r="J393">
            <v>2586000</v>
          </cell>
          <cell r="K393">
            <v>0</v>
          </cell>
          <cell r="L393">
            <v>2586000</v>
          </cell>
          <cell r="M393">
            <v>1293000</v>
          </cell>
          <cell r="N393">
            <v>1293000</v>
          </cell>
        </row>
        <row r="394">
          <cell r="A394">
            <v>395</v>
          </cell>
          <cell r="B394">
            <v>744</v>
          </cell>
          <cell r="C394">
            <v>43137</v>
          </cell>
          <cell r="D394" t="str">
            <v>ROSA CECILIA LOPEZ PATARROYO</v>
          </cell>
          <cell r="E394">
            <v>31</v>
          </cell>
          <cell r="F394" t="str">
            <v>RESOLUCION</v>
          </cell>
          <cell r="G394">
            <v>316</v>
          </cell>
          <cell r="H394">
            <v>43137</v>
          </cell>
          <cell r="I394" t="str">
            <v>AYUDA TEMPORAL A LAS FAMILIAS DE VARIAS LOCALIDADES, PARA RELOCALIZACIÓN DE HOGARES LOCALIZADOS EN ZONAS DE ALTO RIESGO NO MITIGABLE ID:2014-OTR-00885, LOCALIDAD:03 SANTA FE, UPZ:96 LOURDES, SECTOR:CASA 2</v>
          </cell>
          <cell r="J394">
            <v>2551518</v>
          </cell>
          <cell r="K394">
            <v>0</v>
          </cell>
          <cell r="L394">
            <v>2551518</v>
          </cell>
          <cell r="M394">
            <v>1275759</v>
          </cell>
          <cell r="N394">
            <v>1275759</v>
          </cell>
        </row>
        <row r="395">
          <cell r="A395">
            <v>395</v>
          </cell>
          <cell r="B395">
            <v>745</v>
          </cell>
          <cell r="C395">
            <v>43137</v>
          </cell>
          <cell r="D395" t="str">
            <v>MARTHA PATRICIA JIMENEZ</v>
          </cell>
          <cell r="E395">
            <v>31</v>
          </cell>
          <cell r="F395" t="str">
            <v>RESOLUCION</v>
          </cell>
          <cell r="G395">
            <v>317</v>
          </cell>
          <cell r="H395">
            <v>43137</v>
          </cell>
          <cell r="I395" t="str">
            <v>AYUDA TEMPORAL A LAS FAMILIAS DE VARIAS LOCALIDADES, PARA RELOCALIZACIÓN DE HOGARES LOCALIZADOS EN ZONAS DE ALTO RIESGO NO MITIGABLE ID:2007-2-10155, LOCALIDAD:02 CHAPINERO, UPZ:89 SAN ISIDRO PATIOS</v>
          </cell>
          <cell r="J395">
            <v>2586000</v>
          </cell>
          <cell r="K395">
            <v>0</v>
          </cell>
          <cell r="L395">
            <v>2586000</v>
          </cell>
          <cell r="M395">
            <v>1293000</v>
          </cell>
          <cell r="N395">
            <v>1293000</v>
          </cell>
        </row>
        <row r="396">
          <cell r="A396">
            <v>395</v>
          </cell>
          <cell r="B396">
            <v>746</v>
          </cell>
          <cell r="C396">
            <v>43137</v>
          </cell>
          <cell r="D396" t="str">
            <v>MORELIA  CANO</v>
          </cell>
          <cell r="E396">
            <v>31</v>
          </cell>
          <cell r="F396" t="str">
            <v>RESOLUCION</v>
          </cell>
          <cell r="G396">
            <v>318</v>
          </cell>
          <cell r="H396">
            <v>43137</v>
          </cell>
          <cell r="I396" t="str">
            <v>AYUDA TEMPORAL A LAS FAMILIAS DE VARIAS LOCALIDADES, PARA RELOCALIZACIÓN DE HOGARES LOCALIZADOS EN ZONAS DE ALTO RIESGO NO MITIGABLE ID:2011-4-12639, LOCALIDAD:04 SAN CRISTÓBAL, UPZ:32 SAN BLAS</v>
          </cell>
          <cell r="J396">
            <v>2213148</v>
          </cell>
          <cell r="K396">
            <v>0</v>
          </cell>
          <cell r="L396">
            <v>2213148</v>
          </cell>
          <cell r="M396">
            <v>1106574</v>
          </cell>
          <cell r="N396">
            <v>1106574</v>
          </cell>
        </row>
        <row r="397">
          <cell r="A397">
            <v>395</v>
          </cell>
          <cell r="B397">
            <v>747</v>
          </cell>
          <cell r="C397">
            <v>43137</v>
          </cell>
          <cell r="D397" t="str">
            <v>DORIS ALICIA MARIÑO URIBE</v>
          </cell>
          <cell r="E397">
            <v>31</v>
          </cell>
          <cell r="F397" t="str">
            <v>RESOLUCION</v>
          </cell>
          <cell r="G397">
            <v>319</v>
          </cell>
          <cell r="H397">
            <v>43137</v>
          </cell>
          <cell r="I397" t="str">
            <v>AYUDA TEMPORAL A LAS FAMILIAS DE VARIAS LOCALIDADES, PARA RELOCALIZACIÓN DE HOGARES LOCALIZADOS EN ZONAS DE ALTO RIESGO NO MITIGABLE ID:2005-4-6467, LOCALIDAD:04 SAN CRISTÓBAL, UPZ:51 LOS LIBERTADORES</v>
          </cell>
          <cell r="J397">
            <v>2301678</v>
          </cell>
          <cell r="K397">
            <v>0</v>
          </cell>
          <cell r="L397">
            <v>2301678</v>
          </cell>
          <cell r="M397">
            <v>767226</v>
          </cell>
          <cell r="N397">
            <v>1534452</v>
          </cell>
        </row>
        <row r="398">
          <cell r="A398">
            <v>395</v>
          </cell>
          <cell r="B398">
            <v>748</v>
          </cell>
          <cell r="C398">
            <v>43137</v>
          </cell>
          <cell r="D398" t="str">
            <v>ANGELINA  CARRILLO LASSO</v>
          </cell>
          <cell r="E398">
            <v>31</v>
          </cell>
          <cell r="F398" t="str">
            <v>RESOLUCION</v>
          </cell>
          <cell r="G398">
            <v>320</v>
          </cell>
          <cell r="H398">
            <v>43137</v>
          </cell>
          <cell r="I398" t="str">
            <v>AYUDA TEMPORAL A LAS FAMILIAS DE VARIAS LOCALIDADES, PARA RELOCALIZACIÓN DE HOGARES LOCALIZADOS EN ZONAS DE ALTO RIESGO NO MITIGABLE ID:2014-Q03-01007, LOCALIDAD:19 CIUDAD BOLÍVAR, UPZ:66 SAN FRANCISCO, SECTOR:LIMAS</v>
          </cell>
          <cell r="J398">
            <v>2706270</v>
          </cell>
          <cell r="K398">
            <v>0</v>
          </cell>
          <cell r="L398">
            <v>2706270</v>
          </cell>
          <cell r="M398">
            <v>1353135</v>
          </cell>
          <cell r="N398">
            <v>1353135</v>
          </cell>
        </row>
        <row r="399">
          <cell r="A399">
            <v>395</v>
          </cell>
          <cell r="B399">
            <v>749</v>
          </cell>
          <cell r="C399">
            <v>43137</v>
          </cell>
          <cell r="D399" t="str">
            <v>LUIS ALFREDO RODRIGUEZ GAVILAN</v>
          </cell>
          <cell r="E399">
            <v>31</v>
          </cell>
          <cell r="F399" t="str">
            <v>RESOLUCION</v>
          </cell>
          <cell r="G399">
            <v>321</v>
          </cell>
          <cell r="H399">
            <v>43137</v>
          </cell>
          <cell r="I399" t="str">
            <v>AYUDA TEMPORAL A LAS FAMILIAS DE VARIAS LOCALIDADES, PARA RELOCALIZACIÓN DE HOGARES LOCALIZADOS EN ZONAS DE ALTO RIESGO NO MITIGABLE ID:2015-OTR-01446, LOCALIDAD:02 CHAPINERO, UPZ:90 PARDO RUBIO</v>
          </cell>
          <cell r="J399">
            <v>2586000</v>
          </cell>
          <cell r="K399">
            <v>0</v>
          </cell>
          <cell r="L399">
            <v>2586000</v>
          </cell>
          <cell r="M399">
            <v>1293000</v>
          </cell>
          <cell r="N399">
            <v>1293000</v>
          </cell>
        </row>
        <row r="400">
          <cell r="A400">
            <v>395</v>
          </cell>
          <cell r="B400">
            <v>750</v>
          </cell>
          <cell r="C400">
            <v>43137</v>
          </cell>
          <cell r="D400" t="str">
            <v>HUMBERTO  VELANDIA</v>
          </cell>
          <cell r="E400">
            <v>31</v>
          </cell>
          <cell r="F400" t="str">
            <v>RESOLUCION</v>
          </cell>
          <cell r="G400">
            <v>331</v>
          </cell>
          <cell r="H400">
            <v>43137</v>
          </cell>
          <cell r="I400" t="str">
            <v>AYUDA TEMPORAL A LAS FAMILIAS DE VARIAS LOCALIDADES, PARA RELOCALIZACIÓN DE HOGARES LOCALIZADOS EN ZONAS DE ALTO RIESGO NO MITIGABLE ID:2013000176, LOCALIDAD:04 SAN CRISTÓBAL, UPZ:51 LOS LIBERTADORES, SECTOR:QUEBRADA VEREJONES</v>
          </cell>
          <cell r="J400">
            <v>3563175</v>
          </cell>
          <cell r="K400">
            <v>0</v>
          </cell>
          <cell r="L400">
            <v>3563175</v>
          </cell>
          <cell r="M400">
            <v>1527075</v>
          </cell>
          <cell r="N400">
            <v>2036100</v>
          </cell>
        </row>
        <row r="401">
          <cell r="A401">
            <v>395</v>
          </cell>
          <cell r="B401">
            <v>751</v>
          </cell>
          <cell r="C401">
            <v>43137</v>
          </cell>
          <cell r="D401" t="str">
            <v>GLADYS  JOAQUI DIAZ</v>
          </cell>
          <cell r="E401">
            <v>31</v>
          </cell>
          <cell r="F401" t="str">
            <v>RESOLUCION</v>
          </cell>
          <cell r="G401">
            <v>322</v>
          </cell>
          <cell r="H401">
            <v>43137</v>
          </cell>
          <cell r="I401" t="str">
            <v>AYUDA TEMPORAL A LAS FAMILIAS DE VARIAS LOCALIDADES, PARA RELOCALIZACIÓN DE HOGARES LOCALIZADOS EN ZONAS DE ALTO RIESGO NO MITIGABLE ID:2002-4-2711, LOCALIDAD:04 SAN CRISTÓBAL, UPZ:32 SAN BLAS</v>
          </cell>
          <cell r="J401">
            <v>2899932</v>
          </cell>
          <cell r="K401">
            <v>0</v>
          </cell>
          <cell r="L401">
            <v>2899932</v>
          </cell>
          <cell r="M401">
            <v>1449966</v>
          </cell>
          <cell r="N401">
            <v>1449966</v>
          </cell>
        </row>
        <row r="402">
          <cell r="A402">
            <v>503</v>
          </cell>
          <cell r="B402">
            <v>752</v>
          </cell>
          <cell r="C402">
            <v>43137</v>
          </cell>
          <cell r="D402" t="str">
            <v>JOSE IGNACIO TORRES HORTA</v>
          </cell>
          <cell r="E402">
            <v>31</v>
          </cell>
          <cell r="F402" t="str">
            <v>RESOLUCION</v>
          </cell>
          <cell r="G402">
            <v>520</v>
          </cell>
          <cell r="H402">
            <v>43137</v>
          </cell>
          <cell r="I402" t="str">
            <v>VUR de la actual vigencia de acuerdo con el Decreto 255 de 2013. LOCALIDAD: CIUDAD BOLIVAR; BARRIO:EL MIRADOR 3; ID: 2017-19-14976</v>
          </cell>
          <cell r="J402">
            <v>39062100</v>
          </cell>
          <cell r="K402">
            <v>0</v>
          </cell>
          <cell r="L402">
            <v>39062100</v>
          </cell>
          <cell r="M402">
            <v>39062100</v>
          </cell>
          <cell r="N402">
            <v>0</v>
          </cell>
        </row>
        <row r="403">
          <cell r="A403">
            <v>483</v>
          </cell>
          <cell r="B403">
            <v>755</v>
          </cell>
          <cell r="C403">
            <v>43137</v>
          </cell>
          <cell r="D403" t="str">
            <v>CAJA DE VIVIENDA POPULAR</v>
          </cell>
          <cell r="E403">
            <v>1</v>
          </cell>
          <cell r="F403" t="str">
            <v>RELACION DE AUTORIZACION</v>
          </cell>
          <cell r="G403">
            <v>10</v>
          </cell>
          <cell r="H403">
            <v>43137</v>
          </cell>
          <cell r="I403" t="str">
            <v>PAGO DE LAS CESANTIAS DEL AÑO 2017 DE LA PLANTA TEMPORAL PROYECTO 3075</v>
          </cell>
          <cell r="J403">
            <v>37008030</v>
          </cell>
          <cell r="K403">
            <v>0</v>
          </cell>
          <cell r="L403">
            <v>37008030</v>
          </cell>
          <cell r="M403">
            <v>37008030</v>
          </cell>
          <cell r="N403">
            <v>0</v>
          </cell>
        </row>
        <row r="404">
          <cell r="A404">
            <v>395</v>
          </cell>
          <cell r="B404">
            <v>759</v>
          </cell>
          <cell r="C404">
            <v>43137</v>
          </cell>
          <cell r="D404" t="str">
            <v>FRANKLIN HUMBERTO LEON CASTAÑEDA</v>
          </cell>
          <cell r="E404">
            <v>31</v>
          </cell>
          <cell r="F404" t="str">
            <v>RESOLUCION</v>
          </cell>
          <cell r="G404">
            <v>425</v>
          </cell>
          <cell r="H404">
            <v>43137</v>
          </cell>
          <cell r="I404" t="str">
            <v>AYUDA TEMPORAL A LAS FAMILIAS DE VARIAS LOCALIDADES, PARA RELOCALIZACIÓN DE HOGARES LOCALIZADOS EN ZONAS DE ALTO RIESGO NO MITIGABLE ID:2015-D227-00034, LOCALIDAD:04 SAN CRISTÓBAL, UPZ:51 LOS LIBERTADORES, SECTOR:SANTA TERESITA</v>
          </cell>
          <cell r="J404">
            <v>4687452</v>
          </cell>
          <cell r="K404">
            <v>0</v>
          </cell>
          <cell r="L404">
            <v>4687452</v>
          </cell>
          <cell r="M404">
            <v>1171863</v>
          </cell>
          <cell r="N404">
            <v>3515589</v>
          </cell>
        </row>
        <row r="405">
          <cell r="A405">
            <v>395</v>
          </cell>
          <cell r="B405">
            <v>760</v>
          </cell>
          <cell r="C405">
            <v>43137</v>
          </cell>
          <cell r="D405" t="str">
            <v>MARIA EUGENIA BELTRAN HERNANDEZ</v>
          </cell>
          <cell r="E405">
            <v>31</v>
          </cell>
          <cell r="F405" t="str">
            <v>RESOLUCION</v>
          </cell>
          <cell r="G405">
            <v>426</v>
          </cell>
          <cell r="H405">
            <v>43137</v>
          </cell>
          <cell r="I405" t="str">
            <v>AYUDA TEMPORAL A LAS FAMILIAS DE VARIAS LOCALIDADES, PARA RELOCALIZACIÓN DE HOGARES LOCALIZADOS EN ZONAS DE ALTO RIESGO NO MITIGABLE ID:2011-4-12654, LOCALIDAD:04 SAN CRISTÓBAL, UPZ:32 SAN BLAS</v>
          </cell>
          <cell r="J405">
            <v>3233538</v>
          </cell>
          <cell r="K405">
            <v>0</v>
          </cell>
          <cell r="L405">
            <v>3233538</v>
          </cell>
          <cell r="M405">
            <v>1847736</v>
          </cell>
          <cell r="N405">
            <v>1385802</v>
          </cell>
        </row>
        <row r="406">
          <cell r="A406">
            <v>395</v>
          </cell>
          <cell r="B406">
            <v>761</v>
          </cell>
          <cell r="C406">
            <v>43137</v>
          </cell>
          <cell r="D406" t="str">
            <v>JEISSON EDUARDO ESPITIA SAGANOME</v>
          </cell>
          <cell r="E406">
            <v>31</v>
          </cell>
          <cell r="F406" t="str">
            <v>RESOLUCION</v>
          </cell>
          <cell r="G406">
            <v>427</v>
          </cell>
          <cell r="H406">
            <v>43137</v>
          </cell>
          <cell r="I406" t="str">
            <v>AYUDA TEMPORAL A LAS FAMILIAS DE VARIAS LOCALIDADES, PARA RELOCALIZACIÓN DE HOGARES LOCALIZADOS EN ZONAS DE ALTO RIESGO NO MITIGABLE ID:2014-OTR-01132, LOCALIDAD:11 SUBA, UPZ:71 TIBABUYES, SECTOR:GAVILANES</v>
          </cell>
          <cell r="J406">
            <v>2582006</v>
          </cell>
          <cell r="K406">
            <v>0</v>
          </cell>
          <cell r="L406">
            <v>2582006</v>
          </cell>
          <cell r="M406">
            <v>1106574</v>
          </cell>
          <cell r="N406">
            <v>1475432</v>
          </cell>
        </row>
        <row r="407">
          <cell r="A407">
            <v>395</v>
          </cell>
          <cell r="B407">
            <v>762</v>
          </cell>
          <cell r="C407">
            <v>43137</v>
          </cell>
          <cell r="D407" t="str">
            <v>RUBELIA  JARAMILLO ATEHORTUA</v>
          </cell>
          <cell r="E407">
            <v>31</v>
          </cell>
          <cell r="F407" t="str">
            <v>RESOLUCION</v>
          </cell>
          <cell r="G407">
            <v>428</v>
          </cell>
          <cell r="H407">
            <v>43137</v>
          </cell>
          <cell r="I407" t="str">
            <v>AYUDA TEMPORAL A LAS FAMILIAS DE VARIAS LOCALIDADES, PARA RELOCALIZACIÓN DE HOGARES LOCALIZADOS EN ZONAS DE ALTO RIESGO NO MITIGABLE ID:2014-C01-00687, LOCALIDAD:19 CIUDAD BOLÍVAR, UPZ:68 EL TESORO</v>
          </cell>
          <cell r="J407">
            <v>2846046</v>
          </cell>
          <cell r="K407">
            <v>0</v>
          </cell>
          <cell r="L407">
            <v>2846046</v>
          </cell>
          <cell r="M407">
            <v>1626312</v>
          </cell>
          <cell r="N407">
            <v>1219734</v>
          </cell>
        </row>
        <row r="408">
          <cell r="A408">
            <v>395</v>
          </cell>
          <cell r="B408">
            <v>763</v>
          </cell>
          <cell r="C408">
            <v>43137</v>
          </cell>
          <cell r="D408" t="str">
            <v>EDWAR DAVID CANDUCHO TAPIERO</v>
          </cell>
          <cell r="E408">
            <v>31</v>
          </cell>
          <cell r="F408" t="str">
            <v>RESOLUCION</v>
          </cell>
          <cell r="G408">
            <v>429</v>
          </cell>
          <cell r="H408">
            <v>43137</v>
          </cell>
          <cell r="I408" t="str">
            <v>AYUDA TEMPORAL A LAS FAMILIAS DE VARIAS LOCALIDADES, PARA RELOCALIZACIÓN DE HOGARES LOCALIZADOS EN ZONAS DE ALTO RIESGO NO MITIGABLE ID:2006-19-8409, LOCALIDAD:19 CIUDAD BOLÍVAR, UPZ:67 LUCERO</v>
          </cell>
          <cell r="J408">
            <v>6032013</v>
          </cell>
          <cell r="K408">
            <v>0</v>
          </cell>
          <cell r="L408">
            <v>6032013</v>
          </cell>
          <cell r="M408">
            <v>1856004</v>
          </cell>
          <cell r="N408">
            <v>4176009</v>
          </cell>
        </row>
        <row r="409">
          <cell r="A409">
            <v>395</v>
          </cell>
          <cell r="B409">
            <v>764</v>
          </cell>
          <cell r="C409">
            <v>43137</v>
          </cell>
          <cell r="D409" t="str">
            <v>SANDRA JAKELINE FORERO</v>
          </cell>
          <cell r="E409">
            <v>31</v>
          </cell>
          <cell r="F409" t="str">
            <v>RESOLUCION</v>
          </cell>
          <cell r="G409">
            <v>372</v>
          </cell>
          <cell r="H409">
            <v>43137</v>
          </cell>
          <cell r="I409" t="str">
            <v>AYUDA TEMPORAL A LAS FAMILIAS DE VARIAS LOCALIDADES, PARA RELOCALIZACIÓN DE HOGARES LOCALIZADOS EN ZONAS DE ALTO RIESGO NO MITIGABLE ID:2016-08-14822, LOCALIDAD:08 KENNEDY, UPZ:82 PATIO BONITO, SECTOR:PALMITAS</v>
          </cell>
          <cell r="J409">
            <v>6086168</v>
          </cell>
          <cell r="K409">
            <v>0</v>
          </cell>
          <cell r="L409">
            <v>6086168</v>
          </cell>
          <cell r="M409">
            <v>2213152</v>
          </cell>
          <cell r="N409">
            <v>3873016</v>
          </cell>
        </row>
        <row r="410">
          <cell r="A410">
            <v>395</v>
          </cell>
          <cell r="B410">
            <v>765</v>
          </cell>
          <cell r="C410">
            <v>43137</v>
          </cell>
          <cell r="D410" t="str">
            <v>PASTOR  ALBARRACIN ALBARRACIN</v>
          </cell>
          <cell r="E410">
            <v>31</v>
          </cell>
          <cell r="F410" t="str">
            <v>RESOLUCION</v>
          </cell>
          <cell r="G410">
            <v>373</v>
          </cell>
          <cell r="H410">
            <v>43137</v>
          </cell>
          <cell r="I410" t="str">
            <v>AYUDA TEMPORAL A LAS FAMILIAS DE VARIAS LOCALIDADES, PARA RELOCALIZACIÓN DE HOGARES LOCALIZADOS EN ZONAS DE ALTO RIESGO NO MITIGABLE ID:2011-19-13698, LOCALIDAD:19 CIUDAD BOLÍVAR, UPZ:67 LUCERO</v>
          </cell>
          <cell r="J410">
            <v>5108857</v>
          </cell>
          <cell r="K410">
            <v>0</v>
          </cell>
          <cell r="L410">
            <v>5108857</v>
          </cell>
          <cell r="M410">
            <v>1571956</v>
          </cell>
          <cell r="N410">
            <v>3536901</v>
          </cell>
        </row>
        <row r="411">
          <cell r="A411">
            <v>395</v>
          </cell>
          <cell r="B411">
            <v>766</v>
          </cell>
          <cell r="C411">
            <v>43137</v>
          </cell>
          <cell r="D411" t="str">
            <v>FLOR MYRIAM CORREA CORREA</v>
          </cell>
          <cell r="E411">
            <v>31</v>
          </cell>
          <cell r="F411" t="str">
            <v>RESOLUCION</v>
          </cell>
          <cell r="G411">
            <v>374</v>
          </cell>
          <cell r="H411">
            <v>43137</v>
          </cell>
          <cell r="I411" t="str">
            <v>AYUDA TEMPORAL A LAS FAMILIAS DE VARIAS LOCALIDADES, PARA RELOCALIZACIÓN DE HOGARES LOCALIZADOS EN ZONAS DE ALTO RIESGO NO MITIGABLE ID:2013-Q04-00757, LOCALIDAD:19 CIUDAD BOLÍVAR, UPZ:67 LUCERO, SECTOR:PEÑA COLORADA</v>
          </cell>
          <cell r="J411">
            <v>3619000</v>
          </cell>
          <cell r="K411">
            <v>0</v>
          </cell>
          <cell r="L411">
            <v>3619000</v>
          </cell>
          <cell r="M411">
            <v>2068000</v>
          </cell>
          <cell r="N411">
            <v>1551000</v>
          </cell>
        </row>
        <row r="412">
          <cell r="A412">
            <v>395</v>
          </cell>
          <cell r="B412">
            <v>767</v>
          </cell>
          <cell r="C412">
            <v>43137</v>
          </cell>
          <cell r="D412" t="str">
            <v>JUAN DAVID LOPEZ</v>
          </cell>
          <cell r="E412">
            <v>31</v>
          </cell>
          <cell r="F412" t="str">
            <v>RESOLUCION</v>
          </cell>
          <cell r="G412">
            <v>375</v>
          </cell>
          <cell r="H412">
            <v>43137</v>
          </cell>
          <cell r="I412" t="str">
            <v>AYUDA TEMPORAL A LAS FAMILIAS DE VARIAS LOCALIDADES, PARA RELOCALIZACIÓN DE HOGARES LOCALIZADOS EN ZONAS DE ALTO RIESGO NO MITIGABLE ID:2012-19-13786, LOCALIDAD:19 CIUDAD BOLÍVAR, UPZ:67 LUCERO</v>
          </cell>
          <cell r="J412">
            <v>2924376</v>
          </cell>
          <cell r="K412">
            <v>0</v>
          </cell>
          <cell r="L412">
            <v>2924376</v>
          </cell>
          <cell r="M412">
            <v>1671072</v>
          </cell>
          <cell r="N412">
            <v>1253304</v>
          </cell>
        </row>
        <row r="413">
          <cell r="A413">
            <v>395</v>
          </cell>
          <cell r="B413">
            <v>768</v>
          </cell>
          <cell r="C413">
            <v>43137</v>
          </cell>
          <cell r="D413" t="str">
            <v>ORFILIA  LEON BAQUERO</v>
          </cell>
          <cell r="E413">
            <v>31</v>
          </cell>
          <cell r="F413" t="str">
            <v>RESOLUCION</v>
          </cell>
          <cell r="G413">
            <v>376</v>
          </cell>
          <cell r="H413">
            <v>43137</v>
          </cell>
          <cell r="I413" t="str">
            <v>AYUDA TEMPORAL A LAS FAMILIAS DE VARIAS LOCALIDADES, PARA RELOCALIZACIÓN DE HOGARES LOCALIZADOS EN ZONAS DE ALTO RIESGO NO MITIGABLE ID:2016-08-14816, LOCALIDAD:08 KENNEDY, UPZ:82 PATIO BONITO, SECTOR:PALMITAS</v>
          </cell>
          <cell r="J413">
            <v>2840208</v>
          </cell>
          <cell r="K413">
            <v>0</v>
          </cell>
          <cell r="L413">
            <v>2840208</v>
          </cell>
          <cell r="M413">
            <v>1622976</v>
          </cell>
          <cell r="N413">
            <v>1217232</v>
          </cell>
        </row>
        <row r="414">
          <cell r="A414">
            <v>395</v>
          </cell>
          <cell r="B414">
            <v>769</v>
          </cell>
          <cell r="C414">
            <v>43137</v>
          </cell>
          <cell r="D414" t="str">
            <v>ADRIANA  BARRANTES GONZALEZ</v>
          </cell>
          <cell r="E414">
            <v>31</v>
          </cell>
          <cell r="F414" t="str">
            <v>RESOLUCION</v>
          </cell>
          <cell r="G414">
            <v>377</v>
          </cell>
          <cell r="H414">
            <v>43137</v>
          </cell>
          <cell r="I414" t="str">
            <v>AYUDA TEMPORAL A LAS FAMILIAS DE VARIAS LOCALIDADES, PARA RELOCALIZACIÓN DE HOGARES LOCALIZADOS EN ZONAS DE ALTO RIESGO NO MITIGABLE ID:2008-4-10899, LOCALIDAD:04 SAN CRISTÓBAL, UPZ:32 SAN BLAS</v>
          </cell>
          <cell r="J414">
            <v>6713226</v>
          </cell>
          <cell r="K414">
            <v>0</v>
          </cell>
          <cell r="L414">
            <v>6713226</v>
          </cell>
          <cell r="M414">
            <v>2065608</v>
          </cell>
          <cell r="N414">
            <v>4647618</v>
          </cell>
        </row>
        <row r="415">
          <cell r="A415">
            <v>395</v>
          </cell>
          <cell r="B415">
            <v>770</v>
          </cell>
          <cell r="C415">
            <v>43137</v>
          </cell>
          <cell r="D415" t="str">
            <v>CLARA INES ARGUELLO CAMARGO</v>
          </cell>
          <cell r="E415">
            <v>31</v>
          </cell>
          <cell r="F415" t="str">
            <v>RESOLUCION</v>
          </cell>
          <cell r="G415">
            <v>378</v>
          </cell>
          <cell r="H415">
            <v>43137</v>
          </cell>
          <cell r="I415" t="str">
            <v>AYUDA TEMPORAL A LAS FAMILIAS DE VARIAS LOCALIDADES, PARA RELOCALIZACIÓN DE HOGARES LOCALIZADOS EN ZONAS DE ALTO RIESGO NO MITIGABLE ID:2015-Q09-03240, LOCALIDAD:19 CIUDAD BOLÍVAR, UPZ:68 EL TESORO, SECTOR:LA TROMPETA</v>
          </cell>
          <cell r="J415">
            <v>4382037</v>
          </cell>
          <cell r="K415">
            <v>0</v>
          </cell>
          <cell r="L415">
            <v>4382037</v>
          </cell>
          <cell r="M415">
            <v>1593468</v>
          </cell>
          <cell r="N415">
            <v>2788569</v>
          </cell>
        </row>
        <row r="416">
          <cell r="A416">
            <v>395</v>
          </cell>
          <cell r="B416">
            <v>771</v>
          </cell>
          <cell r="C416">
            <v>43137</v>
          </cell>
          <cell r="D416" t="str">
            <v>KATERINE  ROMERO GALLEGO</v>
          </cell>
          <cell r="E416">
            <v>31</v>
          </cell>
          <cell r="F416" t="str">
            <v>RESOLUCION</v>
          </cell>
          <cell r="G416">
            <v>379</v>
          </cell>
          <cell r="H416">
            <v>43137</v>
          </cell>
          <cell r="I416" t="str">
            <v>AYUDA TEMPORAL A LAS FAMILIAS DE VARIAS LOCALIDADES, PARA RELOCALIZACIÓN DE HOGARES LOCALIZADOS EN ZONAS DE ALTO RIESGO NO MITIGABLE ID:2016-08-14826, LOCALIDAD:08 KENNEDY, UPZ:82 PATIO BONITO, SECTOR:PALMITAS</v>
          </cell>
          <cell r="J416">
            <v>3614814</v>
          </cell>
          <cell r="K416">
            <v>0</v>
          </cell>
          <cell r="L416">
            <v>3614814</v>
          </cell>
          <cell r="M416">
            <v>2065608</v>
          </cell>
          <cell r="N416">
            <v>1549206</v>
          </cell>
        </row>
        <row r="417">
          <cell r="A417">
            <v>395</v>
          </cell>
          <cell r="B417">
            <v>772</v>
          </cell>
          <cell r="C417">
            <v>43137</v>
          </cell>
          <cell r="D417" t="str">
            <v>MARTHA LUCIA MARTIN RESTREPO</v>
          </cell>
          <cell r="E417">
            <v>31</v>
          </cell>
          <cell r="F417" t="str">
            <v>RESOLUCION</v>
          </cell>
          <cell r="G417">
            <v>380</v>
          </cell>
          <cell r="H417">
            <v>43137</v>
          </cell>
          <cell r="I417" t="str">
            <v>AYUDA TEMPORAL A LAS FAMILIAS DE VARIAS LOCALIDADES, PARA RELOCALIZACIÓN DE HOGARES LOCALIZADOS EN ZONAS DE ALTO RIESGO NO MITIGABLE ID:2013000534, LOCALIDAD:19 CIUDAD BOLÍVAR, UPZ:67 LUCERO, SECTOR:QUEBRADA TROMPETA</v>
          </cell>
          <cell r="J417">
            <v>5285280</v>
          </cell>
          <cell r="K417">
            <v>0</v>
          </cell>
          <cell r="L417">
            <v>5285280</v>
          </cell>
          <cell r="M417">
            <v>1626240</v>
          </cell>
          <cell r="N417">
            <v>3659040</v>
          </cell>
        </row>
        <row r="418">
          <cell r="A418">
            <v>395</v>
          </cell>
          <cell r="B418">
            <v>773</v>
          </cell>
          <cell r="C418">
            <v>43137</v>
          </cell>
          <cell r="D418" t="str">
            <v>JOSE MILCIADES SALCEDO</v>
          </cell>
          <cell r="E418">
            <v>31</v>
          </cell>
          <cell r="F418" t="str">
            <v>RESOLUCION</v>
          </cell>
          <cell r="G418">
            <v>381</v>
          </cell>
          <cell r="H418">
            <v>43137</v>
          </cell>
          <cell r="I418" t="str">
            <v>AYUDA TEMPORAL A LAS FAMILIAS DE VARIAS LOCALIDADES, PARA RELOCALIZACIÓN DE HOGARES LOCALIZADOS EN ZONAS DE ALTO RIESGO NO MITIGABLE ID:2013000301, LOCALIDAD:19 CIUDAD BOLÍVAR, UPZ:67 LUCERO, SECTOR:QUEBRADA TROMPETA</v>
          </cell>
          <cell r="J418">
            <v>5603000</v>
          </cell>
          <cell r="K418">
            <v>0</v>
          </cell>
          <cell r="L418">
            <v>5603000</v>
          </cell>
          <cell r="M418">
            <v>1724000</v>
          </cell>
          <cell r="N418">
            <v>3879000</v>
          </cell>
        </row>
        <row r="419">
          <cell r="A419">
            <v>395</v>
          </cell>
          <cell r="B419">
            <v>774</v>
          </cell>
          <cell r="C419">
            <v>43137</v>
          </cell>
          <cell r="D419" t="str">
            <v>CARMENZA  GIL OLAYA</v>
          </cell>
          <cell r="E419">
            <v>31</v>
          </cell>
          <cell r="F419" t="str">
            <v>RESOLUCION</v>
          </cell>
          <cell r="G419">
            <v>382</v>
          </cell>
          <cell r="H419">
            <v>43137</v>
          </cell>
          <cell r="I419" t="str">
            <v>AYUDA TEMPORAL A LAS FAMILIAS DE VARIAS LOCALIDADES, PARA RELOCALIZACIÓN DE HOGARES LOCALIZADOS EN ZONAS DE ALTO RIESGO NO MITIGABLE ID:2016-08-14848, LOCALIDAD:08 KENNEDY, UPZ:82 PATIO BONITO, SECTOR:PALMITAS</v>
          </cell>
          <cell r="J419">
            <v>7672262</v>
          </cell>
          <cell r="K419">
            <v>0</v>
          </cell>
          <cell r="L419">
            <v>7672262</v>
          </cell>
          <cell r="M419">
            <v>2360696</v>
          </cell>
          <cell r="N419">
            <v>5311566</v>
          </cell>
        </row>
        <row r="420">
          <cell r="A420">
            <v>395</v>
          </cell>
          <cell r="B420">
            <v>775</v>
          </cell>
          <cell r="C420">
            <v>43137</v>
          </cell>
          <cell r="D420" t="str">
            <v>MARIELA  BARRAGAN</v>
          </cell>
          <cell r="E420">
            <v>31</v>
          </cell>
          <cell r="F420" t="str">
            <v>RESOLUCION</v>
          </cell>
          <cell r="G420">
            <v>383</v>
          </cell>
          <cell r="H420">
            <v>43137</v>
          </cell>
          <cell r="I420" t="str">
            <v>AYUDA TEMPORAL A LAS FAMILIAS DE VARIAS LOCALIDADES, PARA RELOCALIZACIÓN DE HOGARES LOCALIZADOS EN ZONAS DE ALTO RIESGO NO MITIGABLE ID:1999-2-3027, LOCALIDAD:02 CHAPINERO, UPZ:89 SAN ISIDRO PATIOS</v>
          </cell>
          <cell r="J420">
            <v>5285280</v>
          </cell>
          <cell r="K420">
            <v>0</v>
          </cell>
          <cell r="L420">
            <v>5285280</v>
          </cell>
          <cell r="M420">
            <v>1626240</v>
          </cell>
          <cell r="N420">
            <v>3659040</v>
          </cell>
        </row>
        <row r="421">
          <cell r="A421">
            <v>395</v>
          </cell>
          <cell r="B421">
            <v>776</v>
          </cell>
          <cell r="C421">
            <v>43137</v>
          </cell>
          <cell r="D421" t="str">
            <v>LUZ ANGELA SUAREZ MUNZA</v>
          </cell>
          <cell r="E421">
            <v>31</v>
          </cell>
          <cell r="F421" t="str">
            <v>RESOLUCION</v>
          </cell>
          <cell r="G421">
            <v>384</v>
          </cell>
          <cell r="H421">
            <v>43137</v>
          </cell>
          <cell r="I421" t="str">
            <v>AYUDA TEMPORAL A LAS FAMILIAS DE VARIAS LOCALIDADES, PARA RELOCALIZACIÓN DE HOGARES LOCALIZADOS EN ZONAS DE ALTO RIESGO NO MITIGABLE ID:2016-08-14895, LOCALIDAD:08 KENNEDY, UPZ:82 PATIO BONITO, SECTOR:PALMITAS</v>
          </cell>
          <cell r="J421">
            <v>9110803</v>
          </cell>
          <cell r="K421">
            <v>0</v>
          </cell>
          <cell r="L421">
            <v>9110803</v>
          </cell>
          <cell r="M421">
            <v>2803324</v>
          </cell>
          <cell r="N421">
            <v>6307479</v>
          </cell>
        </row>
        <row r="422">
          <cell r="A422">
            <v>395</v>
          </cell>
          <cell r="B422">
            <v>777</v>
          </cell>
          <cell r="C422">
            <v>43137</v>
          </cell>
          <cell r="D422" t="str">
            <v>LUZ ALBA PLATA MARTINEZ</v>
          </cell>
          <cell r="E422">
            <v>31</v>
          </cell>
          <cell r="F422" t="str">
            <v>RESOLUCION</v>
          </cell>
          <cell r="G422">
            <v>385</v>
          </cell>
          <cell r="H422">
            <v>43137</v>
          </cell>
          <cell r="I422" t="str">
            <v>AYUDA TEMPORAL A LAS FAMILIAS DE VARIAS LOCALIDADES, PARA RELOCALIZACIÓN DE HOGARES LOCALIZADOS EN ZONAS DE ALTO RIESGO NO MITIGABLE ID:2003-19-5342, LOCALIDAD:19 CIUDAD BOLÍVAR, UPZ:69 ISMAEL PERDOMO, SECTOR:ALTOS DE LA ESTANCIA</v>
          </cell>
          <cell r="J422">
            <v>6701825</v>
          </cell>
          <cell r="K422">
            <v>0</v>
          </cell>
          <cell r="L422">
            <v>6701825</v>
          </cell>
          <cell r="M422">
            <v>2062100</v>
          </cell>
          <cell r="N422">
            <v>4639725</v>
          </cell>
        </row>
        <row r="423">
          <cell r="A423">
            <v>395</v>
          </cell>
          <cell r="B423">
            <v>778</v>
          </cell>
          <cell r="C423">
            <v>43138</v>
          </cell>
          <cell r="D423" t="str">
            <v>ORLANDO  ESTRADA VALENCIA</v>
          </cell>
          <cell r="E423">
            <v>31</v>
          </cell>
          <cell r="F423" t="str">
            <v>RESOLUCION</v>
          </cell>
          <cell r="G423">
            <v>386</v>
          </cell>
          <cell r="H423">
            <v>43138</v>
          </cell>
          <cell r="I423" t="str">
            <v>AYUDA TEMPORAL A LAS FAMILIAS DE VARIAS LOCALIDADES, PARA RELOCALIZACIÓN DE HOGARES LOCALIZADOS EN ZONAS DE ALTO RIESGO NO MITIGABLE ID:2012-ALES-445, LOCALIDAD:19 CIUDAD BOLÍVAR, UPZ:69 ISMAEL PERDOMO, SECTOR:ALTOS DE LA ESTANCIA</v>
          </cell>
          <cell r="J423">
            <v>6721000</v>
          </cell>
          <cell r="K423">
            <v>0</v>
          </cell>
          <cell r="L423">
            <v>6721000</v>
          </cell>
          <cell r="M423">
            <v>2068000</v>
          </cell>
          <cell r="N423">
            <v>4653000</v>
          </cell>
        </row>
        <row r="424">
          <cell r="A424">
            <v>395</v>
          </cell>
          <cell r="B424">
            <v>779</v>
          </cell>
          <cell r="C424">
            <v>43138</v>
          </cell>
          <cell r="D424" t="str">
            <v>ALEXANDER  MERCASA BARCORIZO</v>
          </cell>
          <cell r="E424">
            <v>31</v>
          </cell>
          <cell r="F424" t="str">
            <v>RESOLUCION</v>
          </cell>
          <cell r="G424">
            <v>387</v>
          </cell>
          <cell r="H424">
            <v>43138</v>
          </cell>
          <cell r="I424" t="str">
            <v>AYUDA TEMPORAL A LAS FAMILIAS DE VARIAS LOCALIDADES, PARA RELOCALIZACIÓN DE HOGARES LOCALIZADOS EN ZONAS DE ALTO RIESGO NO MITIGABLE ID:2014-W166-019, LOCALIDAD:19 CIUDAD BOLÍVAR, UPZ:68 EL TESORO, SECTOR:WOUNAAN</v>
          </cell>
          <cell r="J424">
            <v>7207200</v>
          </cell>
          <cell r="K424">
            <v>0</v>
          </cell>
          <cell r="L424">
            <v>7207200</v>
          </cell>
          <cell r="M424">
            <v>2217600</v>
          </cell>
          <cell r="N424">
            <v>4989600</v>
          </cell>
        </row>
        <row r="425">
          <cell r="A425">
            <v>395</v>
          </cell>
          <cell r="B425">
            <v>780</v>
          </cell>
          <cell r="C425">
            <v>43138</v>
          </cell>
          <cell r="D425" t="str">
            <v>ENCARNACION  PEREZ SEGRERA</v>
          </cell>
          <cell r="E425">
            <v>31</v>
          </cell>
          <cell r="F425" t="str">
            <v>RESOLUCION</v>
          </cell>
          <cell r="G425">
            <v>388</v>
          </cell>
          <cell r="H425">
            <v>43138</v>
          </cell>
          <cell r="I425" t="str">
            <v>AYUDA TEMPORAL A LAS FAMILIAS DE VARIAS LOCALIDADES, PARA RELOCALIZACIÓN DE HOGARES LOCALIZADOS EN ZONAS DE ALTO RIESGO NO MITIGABLE ID:2012-19-13839, LOCALIDAD:19 CIUDAD BOLÍVAR, UPZ:67 LUCERO</v>
          </cell>
          <cell r="J425">
            <v>4942301</v>
          </cell>
          <cell r="K425">
            <v>0</v>
          </cell>
          <cell r="L425">
            <v>4942301</v>
          </cell>
          <cell r="M425">
            <v>1520708</v>
          </cell>
          <cell r="N425">
            <v>3421593</v>
          </cell>
        </row>
        <row r="426">
          <cell r="A426">
            <v>395</v>
          </cell>
          <cell r="B426">
            <v>781</v>
          </cell>
          <cell r="C426">
            <v>43138</v>
          </cell>
          <cell r="D426" t="str">
            <v>CLAUDIA MILENA RINCON RICO</v>
          </cell>
          <cell r="E426">
            <v>31</v>
          </cell>
          <cell r="F426" t="str">
            <v>RESOLUCION</v>
          </cell>
          <cell r="G426">
            <v>389</v>
          </cell>
          <cell r="H426">
            <v>43138</v>
          </cell>
          <cell r="I426" t="str">
            <v>AYUDA TEMPORAL A LAS FAMILIAS DE VARIAS LOCALIDADES, PARA RELOCALIZACIÓN DE HOGARES LOCALIZADOS EN ZONAS DE ALTO RIESGO NO MITIGABLE ID:2012-4-14206, LOCALIDAD:04 SAN CRISTÓBAL, UPZ:32 SAN BLAS</v>
          </cell>
          <cell r="J426">
            <v>4523467</v>
          </cell>
          <cell r="K426">
            <v>0</v>
          </cell>
          <cell r="L426">
            <v>4523467</v>
          </cell>
          <cell r="M426">
            <v>1391836</v>
          </cell>
          <cell r="N426">
            <v>3131631</v>
          </cell>
        </row>
        <row r="427">
          <cell r="A427">
            <v>395</v>
          </cell>
          <cell r="B427">
            <v>782</v>
          </cell>
          <cell r="C427">
            <v>43138</v>
          </cell>
          <cell r="D427" t="str">
            <v>LUIS ELIZARDO QUIROGA PEÑA</v>
          </cell>
          <cell r="E427">
            <v>31</v>
          </cell>
          <cell r="F427" t="str">
            <v>RESOLUCION</v>
          </cell>
          <cell r="G427">
            <v>390</v>
          </cell>
          <cell r="H427">
            <v>43138</v>
          </cell>
          <cell r="I427" t="str">
            <v>AYUDA TEMPORAL A LAS FAMILIAS DE VARIAS LOCALIDADES, PARA RELOCALIZACIÓN DE HOGARES LOCALIZADOS EN ZONAS DE ALTO RIESGO NO MITIGABLE ID:2012-18-14355, LOCALIDAD:18 RAFAEL URIBE URIBE, UPZ:55 DIANA TURBAY</v>
          </cell>
          <cell r="J427">
            <v>2618154</v>
          </cell>
          <cell r="K427">
            <v>0</v>
          </cell>
          <cell r="L427">
            <v>2618154</v>
          </cell>
          <cell r="M427">
            <v>1496088</v>
          </cell>
          <cell r="N427">
            <v>1122066</v>
          </cell>
        </row>
        <row r="428">
          <cell r="A428">
            <v>395</v>
          </cell>
          <cell r="B428">
            <v>783</v>
          </cell>
          <cell r="C428">
            <v>43138</v>
          </cell>
          <cell r="D428" t="str">
            <v>ESTHER JULIA SALAZAR RAMOS</v>
          </cell>
          <cell r="E428">
            <v>31</v>
          </cell>
          <cell r="F428" t="str">
            <v>RESOLUCION</v>
          </cell>
          <cell r="G428">
            <v>391</v>
          </cell>
          <cell r="H428">
            <v>43138</v>
          </cell>
          <cell r="I428" t="str">
            <v>AYUDA TEMPORAL A LAS FAMILIAS DE VARIAS LOCALIDADES, PARA RELOCALIZACIÓN DE HOGARES LOCALIZADOS EN ZONAS DE ALTO RIESGO NO MITIGABLE ID:2011-19-12418, LOCALIDAD:19 CIUDAD BOLÍVAR, UPZ:68 EL TESORO</v>
          </cell>
          <cell r="J428">
            <v>2919000</v>
          </cell>
          <cell r="K428">
            <v>0</v>
          </cell>
          <cell r="L428">
            <v>2919000</v>
          </cell>
          <cell r="M428">
            <v>1668000</v>
          </cell>
          <cell r="N428">
            <v>1251000</v>
          </cell>
        </row>
        <row r="429">
          <cell r="A429">
            <v>395</v>
          </cell>
          <cell r="B429">
            <v>784</v>
          </cell>
          <cell r="C429">
            <v>43138</v>
          </cell>
          <cell r="D429" t="str">
            <v>NELSON JAVIER REINA DURAN</v>
          </cell>
          <cell r="E429">
            <v>31</v>
          </cell>
          <cell r="F429" t="str">
            <v>RESOLUCION</v>
          </cell>
          <cell r="G429">
            <v>392</v>
          </cell>
          <cell r="H429">
            <v>43138</v>
          </cell>
          <cell r="I429" t="str">
            <v>AYUDA TEMPORAL A LAS FAMILIAS DE VARIAS LOCALIDADES, PARA RELOCALIZACIÓN DE HOGARES LOCALIZADOS EN ZONAS DE ALTO RIESGO NO MITIGABLE ID:2013000325, LOCALIDAD:19 CIUDAD BOLÍVAR, UPZ:67 LUCERO, SECTOR:PEÑA COLORADA</v>
          </cell>
          <cell r="J429">
            <v>2846046</v>
          </cell>
          <cell r="K429">
            <v>0</v>
          </cell>
          <cell r="L429">
            <v>2846046</v>
          </cell>
          <cell r="M429">
            <v>1626312</v>
          </cell>
          <cell r="N429">
            <v>1219734</v>
          </cell>
        </row>
        <row r="430">
          <cell r="A430">
            <v>395</v>
          </cell>
          <cell r="B430">
            <v>785</v>
          </cell>
          <cell r="C430">
            <v>43138</v>
          </cell>
          <cell r="D430" t="str">
            <v>DILCIA  VALDERRAMA BALLEN</v>
          </cell>
          <cell r="E430">
            <v>31</v>
          </cell>
          <cell r="F430" t="str">
            <v>RESOLUCION</v>
          </cell>
          <cell r="G430">
            <v>393</v>
          </cell>
          <cell r="H430">
            <v>43138</v>
          </cell>
          <cell r="I430" t="str">
            <v>AYUDA TEMPORAL A LAS FAMILIAS DE VARIAS LOCALIDADES, PARA RELOCALIZACIÓN DE HOGARES LOCALIZADOS EN ZONAS DE ALTO RIESGO NO MITIGABLE ID:2007-19-9544, LOCALIDAD:19 CIUDAD BOLÍVAR, UPZ:69 ISMAEL PERDOMO</v>
          </cell>
          <cell r="J430">
            <v>2845920</v>
          </cell>
          <cell r="K430">
            <v>0</v>
          </cell>
          <cell r="L430">
            <v>2845920</v>
          </cell>
          <cell r="M430">
            <v>1626240</v>
          </cell>
          <cell r="N430">
            <v>1219680</v>
          </cell>
        </row>
        <row r="431">
          <cell r="A431">
            <v>395</v>
          </cell>
          <cell r="B431">
            <v>786</v>
          </cell>
          <cell r="C431">
            <v>43138</v>
          </cell>
          <cell r="D431" t="str">
            <v>SILVIA  GUZMAN PINEDA</v>
          </cell>
          <cell r="E431">
            <v>31</v>
          </cell>
          <cell r="F431" t="str">
            <v>RESOLUCION</v>
          </cell>
          <cell r="G431">
            <v>394</v>
          </cell>
          <cell r="H431">
            <v>43138</v>
          </cell>
          <cell r="I431" t="str">
            <v>AYUDA TEMPORAL A LAS FAMILIAS DE VARIAS LOCALIDADES, PARA RELOCALIZACIÓN DE HOGARES LOCALIZADOS EN ZONAS DE ALTO RIESGO NO MITIGABLE ID:2012-18-14354, LOCALIDAD:18 RAFAEL URIBE URIBE, UPZ:55 DIANA TURBAY</v>
          </cell>
          <cell r="J431">
            <v>3094182</v>
          </cell>
          <cell r="K431">
            <v>0</v>
          </cell>
          <cell r="L431">
            <v>3094182</v>
          </cell>
          <cell r="M431">
            <v>1768104</v>
          </cell>
          <cell r="N431">
            <v>1326078</v>
          </cell>
        </row>
        <row r="432">
          <cell r="A432">
            <v>395</v>
          </cell>
          <cell r="B432">
            <v>787</v>
          </cell>
          <cell r="C432">
            <v>43138</v>
          </cell>
          <cell r="D432" t="str">
            <v>OMAR EDUARDO AREVALO SALINAS</v>
          </cell>
          <cell r="E432">
            <v>31</v>
          </cell>
          <cell r="F432" t="str">
            <v>RESOLUCION</v>
          </cell>
          <cell r="G432">
            <v>395</v>
          </cell>
          <cell r="H432">
            <v>43138</v>
          </cell>
          <cell r="I432" t="str">
            <v>AYUDA TEMPORAL A LAS FAMILIAS DE VARIAS LOCALIDADES, PARA RELOCALIZACIÓN DE HOGARES LOCALIZADOS EN ZONAS DE ALTO RIESGO NO MITIGABLE ID:2012-4-14200, LOCALIDAD:04 SAN CRISTÓBAL, UPZ:32 SAN BLAS</v>
          </cell>
          <cell r="J432">
            <v>3452517</v>
          </cell>
          <cell r="K432">
            <v>0</v>
          </cell>
          <cell r="L432">
            <v>3452517</v>
          </cell>
          <cell r="M432">
            <v>1534452</v>
          </cell>
          <cell r="N432">
            <v>1918065</v>
          </cell>
        </row>
        <row r="433">
          <cell r="A433">
            <v>395</v>
          </cell>
          <cell r="B433">
            <v>788</v>
          </cell>
          <cell r="C433">
            <v>43138</v>
          </cell>
          <cell r="D433" t="str">
            <v>RAFAEL  AREVALO NIÑO</v>
          </cell>
          <cell r="E433">
            <v>31</v>
          </cell>
          <cell r="F433" t="str">
            <v>RESOLUCION</v>
          </cell>
          <cell r="G433">
            <v>396</v>
          </cell>
          <cell r="H433">
            <v>43138</v>
          </cell>
          <cell r="I433" t="str">
            <v>AYUDA TEMPORAL A LAS FAMILIAS DE VARIAS LOCALIDADES, PARA RELOCALIZACIÓN DE HOGARES LOCALIZADOS EN ZONAS DE ALTO RIESGO NO MITIGABLE ID:2011-4-13289, LOCALIDAD:04 SAN CRISTÓBAL, UPZ:32 SAN BLAS</v>
          </cell>
          <cell r="J433">
            <v>4182858</v>
          </cell>
          <cell r="K433">
            <v>0</v>
          </cell>
          <cell r="L433">
            <v>4182858</v>
          </cell>
          <cell r="M433">
            <v>1859048</v>
          </cell>
          <cell r="N433">
            <v>2323810</v>
          </cell>
        </row>
        <row r="434">
          <cell r="A434">
            <v>395</v>
          </cell>
          <cell r="B434">
            <v>789</v>
          </cell>
          <cell r="C434">
            <v>43138</v>
          </cell>
          <cell r="D434" t="str">
            <v>SANDRA PAOLA AREVALO SALINAS</v>
          </cell>
          <cell r="E434">
            <v>31</v>
          </cell>
          <cell r="F434" t="str">
            <v>RESOLUCION</v>
          </cell>
          <cell r="G434">
            <v>397</v>
          </cell>
          <cell r="H434">
            <v>43138</v>
          </cell>
          <cell r="I434" t="str">
            <v>AYUDA TEMPORAL A LAS FAMILIAS DE VARIAS LOCALIDADES, PARA RELOCALIZACIÓN DE HOGARES LOCALIZADOS EN ZONAS DE ALTO RIESGO NO MITIGABLE ID:2012-4-14207, LOCALIDAD:04 SAN CRISTÓBAL, UPZ:32 SAN BLAS</v>
          </cell>
          <cell r="J434">
            <v>4488264</v>
          </cell>
          <cell r="K434">
            <v>0</v>
          </cell>
          <cell r="L434">
            <v>4488264</v>
          </cell>
          <cell r="M434">
            <v>1994784</v>
          </cell>
          <cell r="N434">
            <v>2493480</v>
          </cell>
        </row>
        <row r="435">
          <cell r="A435">
            <v>395</v>
          </cell>
          <cell r="B435">
            <v>790</v>
          </cell>
          <cell r="C435">
            <v>43138</v>
          </cell>
          <cell r="D435" t="str">
            <v>BLANCA LIBIA VANEGAS MARTINEZ</v>
          </cell>
          <cell r="E435">
            <v>31</v>
          </cell>
          <cell r="F435" t="str">
            <v>RESOLUCION</v>
          </cell>
          <cell r="G435">
            <v>398</v>
          </cell>
          <cell r="H435">
            <v>43138</v>
          </cell>
          <cell r="I435" t="str">
            <v>AYUDA TEMPORAL A LAS FAMILIAS DE VARIAS LOCALIDADES, PARA RELOCALIZACIÓN DE HOGARES LOCALIZADOS EN ZONAS DE ALTO RIESGO NO MITIGABLE ID:2013000185, LOCALIDAD:04 SAN CRISTÓBAL, UPZ:51 LOS LIBERTADORES, SECTOR:QUEBRADA VEREJONES</v>
          </cell>
          <cell r="J435">
            <v>4324320</v>
          </cell>
          <cell r="K435">
            <v>0</v>
          </cell>
          <cell r="L435">
            <v>4324320</v>
          </cell>
          <cell r="M435">
            <v>1921920</v>
          </cell>
          <cell r="N435">
            <v>2402400</v>
          </cell>
        </row>
        <row r="436">
          <cell r="A436">
            <v>395</v>
          </cell>
          <cell r="B436">
            <v>791</v>
          </cell>
          <cell r="C436">
            <v>43138</v>
          </cell>
          <cell r="D436" t="str">
            <v>MARIA DEISSY CRUZ VARON</v>
          </cell>
          <cell r="E436">
            <v>31</v>
          </cell>
          <cell r="F436" t="str">
            <v>RESOLUCION</v>
          </cell>
          <cell r="G436">
            <v>399</v>
          </cell>
          <cell r="H436">
            <v>43138</v>
          </cell>
          <cell r="I436" t="str">
            <v>AYUDA TEMPORAL A LAS FAMILIAS DE VARIAS LOCALIDADES, PARA RELOCALIZACIÓN DE HOGARES LOCALIZADOS EN ZONAS DE ALTO RIESGO NO MITIGABLE ID:2014-OTR-00957, LOCALIDAD:19 CIUDAD BOLÍVAR, UPZ:67 LUCERO, SECTOR:TABOR ALTALOMA</v>
          </cell>
          <cell r="J436">
            <v>3382995</v>
          </cell>
          <cell r="K436">
            <v>0</v>
          </cell>
          <cell r="L436">
            <v>3382995</v>
          </cell>
          <cell r="M436">
            <v>1933140</v>
          </cell>
          <cell r="N436">
            <v>1449855</v>
          </cell>
        </row>
        <row r="437">
          <cell r="A437">
            <v>395</v>
          </cell>
          <cell r="B437">
            <v>792</v>
          </cell>
          <cell r="C437">
            <v>43138</v>
          </cell>
          <cell r="D437" t="str">
            <v>JOSE JOAQUIN MONROY RODRIGUEZ</v>
          </cell>
          <cell r="E437">
            <v>31</v>
          </cell>
          <cell r="F437" t="str">
            <v>RESOLUCION</v>
          </cell>
          <cell r="G437">
            <v>400</v>
          </cell>
          <cell r="H437">
            <v>43138</v>
          </cell>
          <cell r="I437" t="str">
            <v>AYUDA TEMPORAL A LAS FAMILIAS DE VARIAS LOCALIDADES, PARA RELOCALIZACIÓN DE HOGARES LOCALIZADOS EN ZONAS DE ALTO RIESGO NO MITIGABLE ID:2013-4-14662, LOCALIDAD:04 SAN CRISTÓBAL, UPZ:32 SAN BLAS</v>
          </cell>
          <cell r="J437">
            <v>3363507</v>
          </cell>
          <cell r="K437">
            <v>0</v>
          </cell>
          <cell r="L437">
            <v>3363507</v>
          </cell>
          <cell r="M437">
            <v>1922004</v>
          </cell>
          <cell r="N437">
            <v>1441503</v>
          </cell>
        </row>
        <row r="438">
          <cell r="A438">
            <v>395</v>
          </cell>
          <cell r="B438">
            <v>793</v>
          </cell>
          <cell r="C438">
            <v>43138</v>
          </cell>
          <cell r="D438" t="str">
            <v>DIOMEDES  PINEDA CERVANTES</v>
          </cell>
          <cell r="E438">
            <v>31</v>
          </cell>
          <cell r="F438" t="str">
            <v>RESOLUCION</v>
          </cell>
          <cell r="G438">
            <v>343</v>
          </cell>
          <cell r="H438">
            <v>42773</v>
          </cell>
          <cell r="I438" t="str">
            <v>AYUDA TEMPORAL A LAS FAMILIAS DE VARIAS LOCALIDADES, PARA RELOCALIZACIÓN DE HOGARES LOCALIZADOS EN ZONAS DE ALTO RIESGO NO MITIGABLE ID:2011-3-12896, LOCALIDAD:03 SANTA FE, UPZ:96 LOURDES</v>
          </cell>
          <cell r="J438">
            <v>7065760</v>
          </cell>
          <cell r="K438">
            <v>0</v>
          </cell>
          <cell r="L438">
            <v>7065760</v>
          </cell>
          <cell r="M438">
            <v>2174080</v>
          </cell>
          <cell r="N438">
            <v>4891680</v>
          </cell>
        </row>
        <row r="439">
          <cell r="A439">
            <v>395</v>
          </cell>
          <cell r="B439">
            <v>794</v>
          </cell>
          <cell r="C439">
            <v>43138</v>
          </cell>
          <cell r="D439" t="str">
            <v>DAIRO NILSON CAÑAS RINCON</v>
          </cell>
          <cell r="E439">
            <v>31</v>
          </cell>
          <cell r="F439" t="str">
            <v>RESOLUCION</v>
          </cell>
          <cell r="G439">
            <v>344</v>
          </cell>
          <cell r="H439">
            <v>43138</v>
          </cell>
          <cell r="I439" t="str">
            <v>AYUDA TEMPORAL A LAS FAMILIAS DE VARIAS LOCALIDADES, PARA RELOCALIZACIÓN DE HOGARES LOCALIZADOS EN ZONAS DE ALTO RIESGO NO MITIGABLE ID:2003-19-4535, LOCALIDAD:19 CIUDAD BOLÍVAR, UPZ:69 ISMAEL PERDOMO, SECTOR:ALTOS DE LA ESTANCIA</v>
          </cell>
          <cell r="J439">
            <v>2706270</v>
          </cell>
          <cell r="K439">
            <v>0</v>
          </cell>
          <cell r="L439">
            <v>2706270</v>
          </cell>
          <cell r="M439">
            <v>1353135</v>
          </cell>
          <cell r="N439">
            <v>1353135</v>
          </cell>
        </row>
        <row r="440">
          <cell r="A440">
            <v>395</v>
          </cell>
          <cell r="B440">
            <v>795</v>
          </cell>
          <cell r="C440">
            <v>43138</v>
          </cell>
          <cell r="D440" t="str">
            <v>MARIA JASIBE ANGEL BERMUDEZ</v>
          </cell>
          <cell r="E440">
            <v>31</v>
          </cell>
          <cell r="F440" t="str">
            <v>RESOLUCION</v>
          </cell>
          <cell r="G440">
            <v>345</v>
          </cell>
          <cell r="H440">
            <v>43138</v>
          </cell>
          <cell r="I440" t="str">
            <v>AYUDA TEMPORAL A LAS FAMILIAS DE VARIAS LOCALIDADES, PARA RELOCALIZACIÓN DE HOGARES LOCALIZADOS EN ZONAS DE ALTO RIESGO NO MITIGABLE ID:2015-Q20-04127, LOCALIDAD:04 SAN CRISTÓBAL, UPZ:50 LA GLORIA, SECTOR:LA CHIGUAZA</v>
          </cell>
          <cell r="J440">
            <v>4986969</v>
          </cell>
          <cell r="K440">
            <v>0</v>
          </cell>
          <cell r="L440">
            <v>4986969</v>
          </cell>
          <cell r="M440">
            <v>1534452</v>
          </cell>
          <cell r="N440">
            <v>3452517</v>
          </cell>
        </row>
        <row r="441">
          <cell r="A441">
            <v>395</v>
          </cell>
          <cell r="B441">
            <v>796</v>
          </cell>
          <cell r="C441">
            <v>43138</v>
          </cell>
          <cell r="D441" t="str">
            <v>ANGEL ALBERTO JIMENEZ</v>
          </cell>
          <cell r="E441">
            <v>31</v>
          </cell>
          <cell r="F441" t="str">
            <v>RESOLUCION</v>
          </cell>
          <cell r="G441">
            <v>346</v>
          </cell>
          <cell r="H441">
            <v>43138</v>
          </cell>
          <cell r="I441" t="str">
            <v>AYUDA TEMPORAL A LAS FAMILIAS DE VARIAS LOCALIDADES, PARA RELOCALIZACIÓN DE HOGARES LOCALIZADOS EN ZONAS DE ALTO RIESGO NO MITIGABLE ID:2013-4-14631, LOCALIDAD:04 SAN CRISTÓBAL, UPZ:32 SAN BLAS</v>
          </cell>
          <cell r="J441">
            <v>3363360</v>
          </cell>
          <cell r="K441">
            <v>0</v>
          </cell>
          <cell r="L441">
            <v>3363360</v>
          </cell>
          <cell r="M441">
            <v>1441440</v>
          </cell>
          <cell r="N441">
            <v>1921920</v>
          </cell>
        </row>
        <row r="442">
          <cell r="A442">
            <v>395</v>
          </cell>
          <cell r="B442">
            <v>797</v>
          </cell>
          <cell r="C442">
            <v>43138</v>
          </cell>
          <cell r="D442" t="str">
            <v>ANGELA MILENA GOMEZ BRAVO</v>
          </cell>
          <cell r="E442">
            <v>31</v>
          </cell>
          <cell r="F442" t="str">
            <v>RESOLUCION</v>
          </cell>
          <cell r="G442">
            <v>347</v>
          </cell>
          <cell r="H442">
            <v>43138</v>
          </cell>
          <cell r="I442" t="str">
            <v>AYUDA TEMPORAL A LAS FAMILIAS DE VARIAS LOCALIDADES, PARA RELOCALIZACIÓN DE HOGARES LOCALIZADOS EN ZONAS DE ALTO RIESGO NO MITIGABLE ID:2016-08-14841, LOCALIDAD:08 KENNEDY, UPZ:82 PATIO BONITO, SECTOR:PALMITAS</v>
          </cell>
          <cell r="J442">
            <v>6542913</v>
          </cell>
          <cell r="K442">
            <v>0</v>
          </cell>
          <cell r="L442">
            <v>6542913</v>
          </cell>
          <cell r="M442">
            <v>2013204</v>
          </cell>
          <cell r="N442">
            <v>4529709</v>
          </cell>
        </row>
        <row r="443">
          <cell r="A443">
            <v>395</v>
          </cell>
          <cell r="B443">
            <v>798</v>
          </cell>
          <cell r="C443">
            <v>43138</v>
          </cell>
          <cell r="D443" t="str">
            <v>JOSE NIVER MERCAZA PIRAZA</v>
          </cell>
          <cell r="E443">
            <v>31</v>
          </cell>
          <cell r="F443" t="str">
            <v>RESOLUCION</v>
          </cell>
          <cell r="G443">
            <v>348</v>
          </cell>
          <cell r="H443">
            <v>43138</v>
          </cell>
          <cell r="I443" t="str">
            <v>AYUDA TEMPORAL A LAS FAMILIAS DE VARIAS LOCALIDADES, PARA RELOCALIZACIÓN DE HOGARES LOCALIZADOS EN ZONAS DE ALTO RIESGO NO MITIGABLE ID:2015-W166-429, LOCALIDAD:19 CIUDAD BOLÍVAR, UPZ:68 EL TESORO, SECTOR:WOUNAAN</v>
          </cell>
          <cell r="J443">
            <v>7672262</v>
          </cell>
          <cell r="K443">
            <v>0</v>
          </cell>
          <cell r="L443">
            <v>7672262</v>
          </cell>
          <cell r="M443">
            <v>2360696</v>
          </cell>
          <cell r="N443">
            <v>5311566</v>
          </cell>
        </row>
        <row r="444">
          <cell r="A444">
            <v>395</v>
          </cell>
          <cell r="B444">
            <v>799</v>
          </cell>
          <cell r="C444">
            <v>43138</v>
          </cell>
          <cell r="D444" t="str">
            <v>MISAEL  CASTRILLON JIMENEZ</v>
          </cell>
          <cell r="E444">
            <v>31</v>
          </cell>
          <cell r="F444" t="str">
            <v>RESOLUCION</v>
          </cell>
          <cell r="G444">
            <v>349</v>
          </cell>
          <cell r="H444">
            <v>43138</v>
          </cell>
          <cell r="I444" t="str">
            <v>AYUDA TEMPORAL A LAS FAMILIAS DE VARIAS LOCALIDADES, PARA RELOCALIZACIÓN DE HOGARES LOCALIZADOS EN ZONAS DE ALTO RIESGO NO MITIGABLE ID:2013-Q21-00600, LOCALIDAD:19 CIUDAD BOLÍVAR, UPZ:67 LUCERO, SECTOR:BRAZO DERECHO DE LIMAS</v>
          </cell>
          <cell r="J444">
            <v>5274672</v>
          </cell>
          <cell r="K444">
            <v>0</v>
          </cell>
          <cell r="L444">
            <v>5274672</v>
          </cell>
          <cell r="M444">
            <v>1622976</v>
          </cell>
          <cell r="N444">
            <v>3651696</v>
          </cell>
        </row>
        <row r="445">
          <cell r="A445">
            <v>395</v>
          </cell>
          <cell r="B445">
            <v>800</v>
          </cell>
          <cell r="C445">
            <v>43138</v>
          </cell>
          <cell r="D445" t="str">
            <v>AGUSTIN ENRIQUE GONZALEZ RAMOS</v>
          </cell>
          <cell r="E445">
            <v>31</v>
          </cell>
          <cell r="F445" t="str">
            <v>RESOLUCION</v>
          </cell>
          <cell r="G445">
            <v>350</v>
          </cell>
          <cell r="H445">
            <v>43138</v>
          </cell>
          <cell r="I445" t="str">
            <v>AYUDA TEMPORAL A LAS FAMILIAS DE VARIAS LOCALIDADES, PARA RELOCALIZACIÓN DE HOGARES LOCALIZADOS EN ZONAS DE ALTO RIESGO NO MITIGABLE ID:2010-19-11689, LOCALIDAD:19 CIUDAD BOLÍVAR, UPZ:69 ISMAEL PERDOMO, SECTOR:OLA INVERNAL 2010 FOPAE</v>
          </cell>
          <cell r="J445">
            <v>2582006</v>
          </cell>
          <cell r="K445">
            <v>0</v>
          </cell>
          <cell r="L445">
            <v>2582006</v>
          </cell>
          <cell r="M445">
            <v>1475432</v>
          </cell>
          <cell r="N445">
            <v>1106574</v>
          </cell>
        </row>
        <row r="446">
          <cell r="A446">
            <v>395</v>
          </cell>
          <cell r="B446">
            <v>801</v>
          </cell>
          <cell r="C446">
            <v>43138</v>
          </cell>
          <cell r="D446" t="str">
            <v>ESPERANZA  AGUILLON NIÑO</v>
          </cell>
          <cell r="E446">
            <v>31</v>
          </cell>
          <cell r="F446" t="str">
            <v>RESOLUCION</v>
          </cell>
          <cell r="G446">
            <v>351</v>
          </cell>
          <cell r="H446">
            <v>43138</v>
          </cell>
          <cell r="I446" t="str">
            <v>AYUDA TEMPORAL A LAS FAMILIAS DE VARIAS LOCALIDADES, PARA RELOCALIZACIÓN DE HOGARES LOCALIZADOS EN ZONAS DE ALTO RIESGO NO MITIGABLE ID:2004-18-5460, LOCALIDAD:18 RAFAEL URIBE URIBE, UPZ:54 MARRUECOS</v>
          </cell>
          <cell r="J446">
            <v>4862286</v>
          </cell>
          <cell r="K446">
            <v>0</v>
          </cell>
          <cell r="L446">
            <v>4862286</v>
          </cell>
          <cell r="M446">
            <v>1768104</v>
          </cell>
          <cell r="N446">
            <v>3094182</v>
          </cell>
        </row>
        <row r="447">
          <cell r="A447">
            <v>395</v>
          </cell>
          <cell r="B447">
            <v>802</v>
          </cell>
          <cell r="C447">
            <v>43138</v>
          </cell>
          <cell r="D447" t="str">
            <v>JUAN CARLOS RODRIGUEZ RIOS</v>
          </cell>
          <cell r="E447">
            <v>31</v>
          </cell>
          <cell r="F447" t="str">
            <v>RESOLUCION</v>
          </cell>
          <cell r="G447">
            <v>352</v>
          </cell>
          <cell r="H447">
            <v>43138</v>
          </cell>
          <cell r="I447" t="str">
            <v>AYUDA TEMPORAL A LAS FAMILIAS DE VARIAS LOCALIDADES, PARA RELOCALIZACIÓN DE HOGARES LOCALIZADOS EN ZONAS DE ALTO RIESGO NO MITIGABLE ID:2014-OTR-00858, LOCALIDAD:04 SAN CRISTÓBAL, UPZ:32 SAN BLAS</v>
          </cell>
          <cell r="J447">
            <v>2723490</v>
          </cell>
          <cell r="K447">
            <v>0</v>
          </cell>
          <cell r="L447">
            <v>2723490</v>
          </cell>
          <cell r="M447">
            <v>1556280</v>
          </cell>
          <cell r="N447">
            <v>1167210</v>
          </cell>
        </row>
        <row r="448">
          <cell r="A448">
            <v>395</v>
          </cell>
          <cell r="B448">
            <v>803</v>
          </cell>
          <cell r="C448">
            <v>43138</v>
          </cell>
          <cell r="D448" t="str">
            <v>ABELARDO  RODRIGUEZ RODRIGUEZ</v>
          </cell>
          <cell r="E448">
            <v>31</v>
          </cell>
          <cell r="F448" t="str">
            <v>RESOLUCION</v>
          </cell>
          <cell r="G448">
            <v>353</v>
          </cell>
          <cell r="H448">
            <v>43138</v>
          </cell>
          <cell r="I448" t="str">
            <v>AYUDA TEMPORAL A LAS FAMILIAS DE VARIAS LOCALIDADES, PARA RELOCALIZACIÓN DE HOGARES LOCALIZADOS EN ZONAS DE ALTO RIESGO NO MITIGABLE ID:2015-D227-00039, LOCALIDAD:04 SAN CRISTÓBAL, UPZ:51 LOS LIBERTADORES, SECTOR:SANTA TERESITA</v>
          </cell>
          <cell r="J448">
            <v>4986969</v>
          </cell>
          <cell r="K448">
            <v>0</v>
          </cell>
          <cell r="L448">
            <v>4986969</v>
          </cell>
          <cell r="M448">
            <v>1534452</v>
          </cell>
          <cell r="N448">
            <v>3452517</v>
          </cell>
        </row>
        <row r="449">
          <cell r="A449">
            <v>395</v>
          </cell>
          <cell r="B449">
            <v>804</v>
          </cell>
          <cell r="C449">
            <v>43138</v>
          </cell>
          <cell r="D449" t="str">
            <v>WILLIAM JAVIER POSADA VIVAS</v>
          </cell>
          <cell r="E449">
            <v>31</v>
          </cell>
          <cell r="F449" t="str">
            <v>RESOLUCION</v>
          </cell>
          <cell r="G449">
            <v>354</v>
          </cell>
          <cell r="H449">
            <v>43138</v>
          </cell>
          <cell r="I449" t="str">
            <v>AYUDA TEMPORAL A LAS FAMILIAS DE VARIAS LOCALIDADES, PARA RELOCALIZACIÓN DE HOGARES LOCALIZADOS EN ZONAS DE ALTO RIESGO NO MITIGABLE ID:1999-4-2782, LOCALIDAD:04 SAN CRISTÓBAL, UPZ:32 SAN BLAS</v>
          </cell>
          <cell r="J449">
            <v>4590270</v>
          </cell>
          <cell r="K449">
            <v>0</v>
          </cell>
          <cell r="L449">
            <v>4590270</v>
          </cell>
          <cell r="M449">
            <v>2040120</v>
          </cell>
          <cell r="N449">
            <v>2550150</v>
          </cell>
        </row>
        <row r="450">
          <cell r="A450">
            <v>395</v>
          </cell>
          <cell r="B450">
            <v>805</v>
          </cell>
          <cell r="C450">
            <v>43138</v>
          </cell>
          <cell r="D450" t="str">
            <v>VICTOR HUGO MALPICA FUENTES</v>
          </cell>
          <cell r="E450">
            <v>31</v>
          </cell>
          <cell r="F450" t="str">
            <v>RESOLUCION</v>
          </cell>
          <cell r="G450">
            <v>355</v>
          </cell>
          <cell r="H450">
            <v>43138</v>
          </cell>
          <cell r="I450" t="str">
            <v>AYUDA TEMPORAL A LAS FAMILIAS DE VARIAS LOCALIDADES, PARA RELOCALIZACIÓN DE HOGARES LOCALIZADOS EN ZONAS DE ALTO RIESGO NO MITIGABLE ID:2013-Q10-00649, LOCALIDAD:04 SAN CRISTÓBAL, UPZ:51 LOS LIBERTADORES, SECTOR:QUEBRADA VEREJONES</v>
          </cell>
          <cell r="J450">
            <v>5466487</v>
          </cell>
          <cell r="K450">
            <v>0</v>
          </cell>
          <cell r="L450">
            <v>5466487</v>
          </cell>
          <cell r="M450">
            <v>1681996</v>
          </cell>
          <cell r="N450">
            <v>3784491</v>
          </cell>
        </row>
        <row r="451">
          <cell r="A451">
            <v>395</v>
          </cell>
          <cell r="B451">
            <v>806</v>
          </cell>
          <cell r="C451">
            <v>43138</v>
          </cell>
          <cell r="D451" t="str">
            <v>MARIA ANDREA GARCIA RUIZ</v>
          </cell>
          <cell r="E451">
            <v>31</v>
          </cell>
          <cell r="F451" t="str">
            <v>RESOLUCION</v>
          </cell>
          <cell r="G451">
            <v>356</v>
          </cell>
          <cell r="H451">
            <v>43138</v>
          </cell>
          <cell r="I451" t="str">
            <v>AYUDA TEMPORAL A LAS FAMILIAS DE VARIAS LOCALIDADES, PARA RELOCALIZACIÓN DE HOGARES LOCALIZADOS EN ZONAS DE ALTO RIESGO NO MITIGABLE ID:2016-08-14778, LOCALIDAD:08 KENNEDY, UPZ:82 PATIO BONITO, SECTOR:PALMITAS</v>
          </cell>
          <cell r="J451">
            <v>4136720</v>
          </cell>
          <cell r="K451">
            <v>0</v>
          </cell>
          <cell r="L451">
            <v>4136720</v>
          </cell>
          <cell r="M451">
            <v>1654688</v>
          </cell>
          <cell r="N451">
            <v>2482032</v>
          </cell>
        </row>
        <row r="452">
          <cell r="A452">
            <v>395</v>
          </cell>
          <cell r="B452">
            <v>807</v>
          </cell>
          <cell r="C452">
            <v>43138</v>
          </cell>
          <cell r="D452" t="str">
            <v>WILSON  MEDINA SANCHEZ</v>
          </cell>
          <cell r="E452">
            <v>31</v>
          </cell>
          <cell r="F452" t="str">
            <v>RESOLUCION</v>
          </cell>
          <cell r="G452">
            <v>357</v>
          </cell>
          <cell r="H452">
            <v>43138</v>
          </cell>
          <cell r="I452" t="str">
            <v>AYUDA TEMPORAL A LAS FAMILIAS DE VARIAS LOCALIDADES, PARA RELOCALIZACIÓN DE HOGARES LOCALIZADOS EN ZONAS DE ALTO RIESGO NO MITIGABLE ID:2015-4-14739, LOCALIDAD:04 SAN CRISTÓBAL, UPZ:32 SAN BLAS</v>
          </cell>
          <cell r="J452">
            <v>6533774</v>
          </cell>
          <cell r="K452">
            <v>0</v>
          </cell>
          <cell r="L452">
            <v>6533774</v>
          </cell>
          <cell r="M452">
            <v>2010392</v>
          </cell>
          <cell r="N452">
            <v>4523382</v>
          </cell>
        </row>
        <row r="453">
          <cell r="A453">
            <v>585</v>
          </cell>
          <cell r="B453">
            <v>808</v>
          </cell>
          <cell r="C453">
            <v>43138</v>
          </cell>
          <cell r="D453" t="str">
            <v>JESICA ALEJANDRA CERON ESPINOSA</v>
          </cell>
          <cell r="E453">
            <v>31</v>
          </cell>
          <cell r="F453" t="str">
            <v>RESOLUCION</v>
          </cell>
          <cell r="G453">
            <v>598</v>
          </cell>
          <cell r="H453">
            <v>43138</v>
          </cell>
          <cell r="I453" t="str">
            <v>Asignacion del instrumento financiero a las familias ocupantes del predio que hayan superado la fase de verificacion dentro  del marco del Decreto 457 de 2017. LOCALIDAD: KENNEDY; BARRIO: VEREDITAS; ID: 2017-8-383696</v>
          </cell>
          <cell r="J453">
            <v>54686940</v>
          </cell>
          <cell r="K453">
            <v>0</v>
          </cell>
          <cell r="L453">
            <v>54686940</v>
          </cell>
          <cell r="M453">
            <v>0</v>
          </cell>
          <cell r="N453">
            <v>54686940</v>
          </cell>
        </row>
        <row r="454">
          <cell r="A454">
            <v>514</v>
          </cell>
          <cell r="B454">
            <v>809</v>
          </cell>
          <cell r="C454">
            <v>43138</v>
          </cell>
          <cell r="D454" t="str">
            <v>BERTHA LILIANA VASQUEZ CASTRILLON</v>
          </cell>
          <cell r="E454">
            <v>31</v>
          </cell>
          <cell r="F454" t="str">
            <v>RESOLUCION</v>
          </cell>
          <cell r="G454">
            <v>597</v>
          </cell>
          <cell r="H454">
            <v>43138</v>
          </cell>
          <cell r="I454" t="str">
            <v>Asignacion del instrumento financiero a las familias ocupantes del predio que hayan superado la fase de verificacion dentro  del marco del Decreto 457 de 2017. LOCALIDAD: KENNEDY; BARRIO: VEREDITAS; ID: 2017-8-383665</v>
          </cell>
          <cell r="J454">
            <v>54686940</v>
          </cell>
          <cell r="K454">
            <v>0</v>
          </cell>
          <cell r="L454">
            <v>54686940</v>
          </cell>
          <cell r="M454">
            <v>54686940</v>
          </cell>
          <cell r="N454">
            <v>0</v>
          </cell>
        </row>
        <row r="455">
          <cell r="A455">
            <v>395</v>
          </cell>
          <cell r="B455">
            <v>810</v>
          </cell>
          <cell r="C455">
            <v>43138</v>
          </cell>
          <cell r="D455" t="str">
            <v>VICTOR MANUEL TORRES AMAYA</v>
          </cell>
          <cell r="E455">
            <v>31</v>
          </cell>
          <cell r="F455" t="str">
            <v>RESOLUCION</v>
          </cell>
          <cell r="G455">
            <v>480</v>
          </cell>
          <cell r="H455">
            <v>43138</v>
          </cell>
          <cell r="I455" t="str">
            <v>AYUDA TEMPORAL A LAS FAMILIAS DE VARIAS LOCALIDADES, PARA RELOCALIZACIÓN DE HOGARES LOCALIZADOS EN ZONAS DE ALTO RIESGO NO MITIGABLE ID:2011-19-12561, LOCALIDAD:19 CIUDAD BOLÍVAR, UPZ:69 ISMAEL PERDOMO, SECTOR:OLA INVERNAL 2010 FOPAE</v>
          </cell>
          <cell r="J455">
            <v>3490872</v>
          </cell>
          <cell r="K455">
            <v>0</v>
          </cell>
          <cell r="L455">
            <v>3490872</v>
          </cell>
          <cell r="M455">
            <v>1994784</v>
          </cell>
          <cell r="N455">
            <v>1496088</v>
          </cell>
        </row>
        <row r="456">
          <cell r="A456">
            <v>395</v>
          </cell>
          <cell r="B456">
            <v>811</v>
          </cell>
          <cell r="C456">
            <v>43138</v>
          </cell>
          <cell r="D456" t="str">
            <v>MONICA LILIANA RODRIGUEZ VELASQUEZ</v>
          </cell>
          <cell r="E456">
            <v>31</v>
          </cell>
          <cell r="F456" t="str">
            <v>RESOLUCION</v>
          </cell>
          <cell r="G456">
            <v>481</v>
          </cell>
          <cell r="H456">
            <v>43138</v>
          </cell>
          <cell r="I456" t="str">
            <v>AYUDA TEMPORAL A LAS FAMILIAS DE VARIAS LOCALIDADES, PARA RELOCALIZACIÓN DE HOGARES LOCALIZADOS EN ZONAS DE ALTO RIESGO NO MITIGABLE ID:2015-OTR-01372, LOCALIDAD:11 SUBA, UPZ:71 TIBABUYES, SECTOR:GAVILANES</v>
          </cell>
          <cell r="J456">
            <v>3516527</v>
          </cell>
          <cell r="K456">
            <v>0</v>
          </cell>
          <cell r="L456">
            <v>3516527</v>
          </cell>
          <cell r="M456">
            <v>2009444</v>
          </cell>
          <cell r="N456">
            <v>1507083</v>
          </cell>
        </row>
        <row r="457">
          <cell r="A457">
            <v>395</v>
          </cell>
          <cell r="B457">
            <v>812</v>
          </cell>
          <cell r="C457">
            <v>43138</v>
          </cell>
          <cell r="D457" t="str">
            <v>FLOR MARINA SOSA</v>
          </cell>
          <cell r="E457">
            <v>31</v>
          </cell>
          <cell r="F457" t="str">
            <v>RESOLUCION</v>
          </cell>
          <cell r="G457">
            <v>482</v>
          </cell>
          <cell r="H457">
            <v>43138</v>
          </cell>
          <cell r="I457" t="str">
            <v>AYUDA TEMPORAL A LAS FAMILIAS DE VARIAS LOCALIDADES, PARA RELOCALIZACIÓN DE HOGARES LOCALIZADOS EN ZONAS DE ALTO RIESGO NO MITIGABLE ID:2015-D227-00026, LOCALIDAD:04 SAN CRISTÓBAL, UPZ:51 LOS LIBERTADORES, SECTOR:SANTA TERESITA</v>
          </cell>
          <cell r="J457">
            <v>5780541</v>
          </cell>
          <cell r="K457">
            <v>0</v>
          </cell>
          <cell r="L457">
            <v>5780541</v>
          </cell>
          <cell r="M457">
            <v>1778628</v>
          </cell>
          <cell r="N457">
            <v>4001913</v>
          </cell>
        </row>
        <row r="458">
          <cell r="A458">
            <v>395</v>
          </cell>
          <cell r="B458">
            <v>813</v>
          </cell>
          <cell r="C458">
            <v>43138</v>
          </cell>
          <cell r="D458" t="str">
            <v>RUBIELA  SANCHEZ</v>
          </cell>
          <cell r="E458">
            <v>31</v>
          </cell>
          <cell r="F458" t="str">
            <v>RESOLUCION</v>
          </cell>
          <cell r="G458">
            <v>483</v>
          </cell>
          <cell r="H458">
            <v>43138</v>
          </cell>
          <cell r="I458" t="str">
            <v>AYUDA TEMPORAL A LAS FAMILIAS DE VARIAS LOCALIDADES, PARA RELOCALIZACIÓN DE HOGARES LOCALIZADOS EN ZONAS DE ALTO RIESGO NO MITIGABLE ID:2011-4-12706, LOCALIDAD:04 SAN CRISTÓBAL, UPZ:32 SAN BLAS</v>
          </cell>
          <cell r="J458">
            <v>3022327</v>
          </cell>
          <cell r="K458">
            <v>0</v>
          </cell>
          <cell r="L458">
            <v>3022327</v>
          </cell>
          <cell r="M458">
            <v>1727044</v>
          </cell>
          <cell r="N458">
            <v>1295283</v>
          </cell>
        </row>
        <row r="459">
          <cell r="A459">
            <v>395</v>
          </cell>
          <cell r="B459">
            <v>814</v>
          </cell>
          <cell r="C459">
            <v>43138</v>
          </cell>
          <cell r="D459" t="str">
            <v>ANGIE LORENA CAGUA YATE</v>
          </cell>
          <cell r="E459">
            <v>31</v>
          </cell>
          <cell r="F459" t="str">
            <v>RESOLUCION</v>
          </cell>
          <cell r="G459">
            <v>484</v>
          </cell>
          <cell r="H459">
            <v>43138</v>
          </cell>
          <cell r="I459" t="str">
            <v>AYUDA TEMPORAL A LAS FAMILIAS DE VARIAS LOCALIDADES, PARA RELOCALIZACIÓN DE HOGARES LOCALIZADOS EN ZONAS DE ALTO RIESGO NO MITIGABLE ID:2016-08-14774, LOCALIDAD:08 KENNEDY, UPZ:82 PATIO BONITO, SECTOR:PALMITAS</v>
          </cell>
          <cell r="J459">
            <v>5825885</v>
          </cell>
          <cell r="K459">
            <v>0</v>
          </cell>
          <cell r="L459">
            <v>5825885</v>
          </cell>
          <cell r="M459">
            <v>1792580</v>
          </cell>
          <cell r="N459">
            <v>4033305</v>
          </cell>
        </row>
        <row r="460">
          <cell r="A460">
            <v>395</v>
          </cell>
          <cell r="B460">
            <v>815</v>
          </cell>
          <cell r="C460">
            <v>43138</v>
          </cell>
          <cell r="D460" t="str">
            <v>CELMIRA  GUARIN</v>
          </cell>
          <cell r="E460">
            <v>31</v>
          </cell>
          <cell r="F460" t="str">
            <v>RESOLUCION</v>
          </cell>
          <cell r="G460">
            <v>485</v>
          </cell>
          <cell r="H460">
            <v>43138</v>
          </cell>
          <cell r="I460" t="str">
            <v>AYUDA TEMPORAL A LAS FAMILIAS DE VARIAS LOCALIDADES, PARA RELOCALIZACIÓN DE HOGARES LOCALIZADOS EN ZONAS DE ALTO RIESGO NO MITIGABLE ID:2013000335, LOCALIDAD:19 CIUDAD BOLÍVAR, UPZ:67 LUCERO, SECTOR:PEÑA COLORADA</v>
          </cell>
          <cell r="J460">
            <v>3038112</v>
          </cell>
          <cell r="K460">
            <v>0</v>
          </cell>
          <cell r="L460">
            <v>3038112</v>
          </cell>
          <cell r="M460">
            <v>1736064</v>
          </cell>
          <cell r="N460">
            <v>1302048</v>
          </cell>
        </row>
        <row r="461">
          <cell r="A461">
            <v>395</v>
          </cell>
          <cell r="B461">
            <v>816</v>
          </cell>
          <cell r="C461">
            <v>43138</v>
          </cell>
          <cell r="D461" t="str">
            <v>DOLORES  MUNAR DE LOMBANA</v>
          </cell>
          <cell r="E461">
            <v>31</v>
          </cell>
          <cell r="F461" t="str">
            <v>RESOLUCION</v>
          </cell>
          <cell r="G461">
            <v>358</v>
          </cell>
          <cell r="H461">
            <v>43138</v>
          </cell>
          <cell r="I461" t="str">
            <v>AYUDA TEMPORAL A LAS FAMILIAS DE VARIAS LOCALIDADES, PARA RELOCALIZACIÓN DE HOGARES LOCALIZADOS EN ZONAS DE ALTO RIESGO NO MITIGABLE ID:2006-1-9146, LOCALIDAD:01 USAQUÉN, UPZ:11 SAN CRISTÓBAL NORTE</v>
          </cell>
          <cell r="J461">
            <v>2606135</v>
          </cell>
          <cell r="K461">
            <v>0</v>
          </cell>
          <cell r="L461">
            <v>2606135</v>
          </cell>
          <cell r="M461">
            <v>1489220</v>
          </cell>
          <cell r="N461">
            <v>1116915</v>
          </cell>
        </row>
        <row r="462">
          <cell r="A462">
            <v>395</v>
          </cell>
          <cell r="B462">
            <v>817</v>
          </cell>
          <cell r="C462">
            <v>43138</v>
          </cell>
          <cell r="D462" t="str">
            <v>RAFAEL MAXIMILIANO GUEVARA SUAREZ</v>
          </cell>
          <cell r="E462">
            <v>31</v>
          </cell>
          <cell r="F462" t="str">
            <v>RESOLUCION</v>
          </cell>
          <cell r="G462">
            <v>359</v>
          </cell>
          <cell r="H462">
            <v>43138</v>
          </cell>
          <cell r="I462" t="str">
            <v>AYUDA TEMPORAL A LAS FAMILIAS DE VARIAS LOCALIDADES, PARA RELOCALIZACIÓN DE HOGARES LOCALIZADOS EN ZONAS DE ALTO RIESGO NO MITIGABLE ID:2013000576, LOCALIDAD:04 SAN CRISTÓBAL, UPZ:51 LOS LIBERTADORES, SECTOR:QUEBRADA VEREJONES</v>
          </cell>
          <cell r="J462">
            <v>3983670</v>
          </cell>
          <cell r="K462">
            <v>0</v>
          </cell>
          <cell r="L462">
            <v>3983670</v>
          </cell>
          <cell r="M462">
            <v>1593468</v>
          </cell>
          <cell r="N462">
            <v>2390202</v>
          </cell>
        </row>
        <row r="463">
          <cell r="A463">
            <v>395</v>
          </cell>
          <cell r="B463">
            <v>818</v>
          </cell>
          <cell r="C463">
            <v>43138</v>
          </cell>
          <cell r="D463" t="str">
            <v>THUYLON  CHIRINOS PRIETO</v>
          </cell>
          <cell r="E463">
            <v>31</v>
          </cell>
          <cell r="F463" t="str">
            <v>RESOLUCION</v>
          </cell>
          <cell r="G463">
            <v>360</v>
          </cell>
          <cell r="H463">
            <v>43138</v>
          </cell>
          <cell r="I463" t="str">
            <v>AYUDA TEMPORAL A LAS FAMILIAS DE VARIAS LOCALIDADES, PARA RELOCALIZACIÓN DE HOGARES LOCALIZADOS EN ZONAS DE ALTO RIESGO NO MITIGABLE ID:2010-4-11795, LOCALIDAD:04 SAN CRISTÓBAL, UPZ:34 20 DE JULIO, SECTOR:OLA INVERNAL 2010 FOPAE</v>
          </cell>
          <cell r="J463">
            <v>5612893</v>
          </cell>
          <cell r="K463">
            <v>0</v>
          </cell>
          <cell r="L463">
            <v>5612893</v>
          </cell>
          <cell r="M463">
            <v>1727044</v>
          </cell>
          <cell r="N463">
            <v>3885849</v>
          </cell>
        </row>
        <row r="464">
          <cell r="A464">
            <v>395</v>
          </cell>
          <cell r="B464">
            <v>819</v>
          </cell>
          <cell r="C464">
            <v>43138</v>
          </cell>
          <cell r="D464" t="str">
            <v>MABEL ALICIA ARANDIA PULIDO</v>
          </cell>
          <cell r="E464">
            <v>31</v>
          </cell>
          <cell r="F464" t="str">
            <v>RESOLUCION</v>
          </cell>
          <cell r="G464">
            <v>361</v>
          </cell>
          <cell r="H464">
            <v>43138</v>
          </cell>
          <cell r="I464" t="str">
            <v>AYUDA TEMPORAL A LAS FAMILIAS DE VARIAS LOCALIDADES, PARA RELOCALIZACIÓN DE HOGARES LOCALIZADOS EN ZONAS DE ALTO RIESGO NO MITIGABLE ID:2014-OTR-01134, LOCALIDAD:11 SUBA, UPZ:71 TIBABUYES, SECTOR:GAVILANES</v>
          </cell>
          <cell r="J464">
            <v>6530693</v>
          </cell>
          <cell r="K464">
            <v>0</v>
          </cell>
          <cell r="L464">
            <v>6530693</v>
          </cell>
          <cell r="M464">
            <v>2009444</v>
          </cell>
          <cell r="N464">
            <v>4521249</v>
          </cell>
        </row>
        <row r="465">
          <cell r="A465">
            <v>395</v>
          </cell>
          <cell r="B465">
            <v>820</v>
          </cell>
          <cell r="C465">
            <v>43138</v>
          </cell>
          <cell r="D465" t="str">
            <v>FANNY MARCELA MORENO ACHURI</v>
          </cell>
          <cell r="E465">
            <v>31</v>
          </cell>
          <cell r="F465" t="str">
            <v>RESOLUCION</v>
          </cell>
          <cell r="G465">
            <v>362</v>
          </cell>
          <cell r="H465">
            <v>43138</v>
          </cell>
          <cell r="I465" t="str">
            <v>AYUDA TEMPORAL A LAS FAMILIAS DE VARIAS LOCALIDADES, PARA RELOCALIZACIÓN DE HOGARES LOCALIZADOS EN ZONAS DE ALTO RIESGO NO MITIGABLE ID:2012-18-14326, LOCALIDAD:18 RAFAEL URIBE URIBE, UPZ:55 DIANA TURBAY</v>
          </cell>
          <cell r="J465">
            <v>2992176</v>
          </cell>
          <cell r="K465">
            <v>0</v>
          </cell>
          <cell r="L465">
            <v>2992176</v>
          </cell>
          <cell r="M465">
            <v>1496088</v>
          </cell>
          <cell r="N465">
            <v>1496088</v>
          </cell>
        </row>
        <row r="466">
          <cell r="A466">
            <v>395</v>
          </cell>
          <cell r="B466">
            <v>821</v>
          </cell>
          <cell r="C466">
            <v>43138</v>
          </cell>
          <cell r="D466" t="str">
            <v>NORALBA  OYOLA BOTACHE</v>
          </cell>
          <cell r="E466">
            <v>31</v>
          </cell>
          <cell r="F466" t="str">
            <v>RESOLUCION</v>
          </cell>
          <cell r="G466">
            <v>486</v>
          </cell>
          <cell r="H466">
            <v>43138</v>
          </cell>
          <cell r="I466" t="str">
            <v>AYUDA TEMPORAL A LAS FAMILIAS DE VARIAS LOCALIDADES, PARA RELOCALIZACIÓN DE HOGARES LOCALIZADOS EN ZONAS DE ALTO RIESGO NO MITIGABLE ID:2013000169, LOCALIDAD:19 CIUDAD BOLÍVAR, UPZ:67 LUCERO, SECTOR:QUEBRADA TROMPETA</v>
          </cell>
          <cell r="J466">
            <v>3022327</v>
          </cell>
          <cell r="K466">
            <v>0</v>
          </cell>
          <cell r="L466">
            <v>3022327</v>
          </cell>
          <cell r="M466">
            <v>1727044</v>
          </cell>
          <cell r="N466">
            <v>1295283</v>
          </cell>
        </row>
        <row r="467">
          <cell r="A467">
            <v>395</v>
          </cell>
          <cell r="B467">
            <v>822</v>
          </cell>
          <cell r="C467">
            <v>43138</v>
          </cell>
          <cell r="D467" t="str">
            <v>MARIBEL  ACOSTA TRIGOS</v>
          </cell>
          <cell r="E467">
            <v>31</v>
          </cell>
          <cell r="F467" t="str">
            <v>RESOLUCION</v>
          </cell>
          <cell r="G467">
            <v>363</v>
          </cell>
          <cell r="H467">
            <v>43138</v>
          </cell>
          <cell r="I467" t="str">
            <v>AYUDA TEMPORAL A LAS FAMILIAS DE VARIAS LOCALIDADES, PARA RELOCALIZACIÓN DE HOGARES LOCALIZADOS EN ZONAS DE ALTO RIESGO NO MITIGABLE ID:2012-19-14129, LOCALIDAD:19 CIUDAD BOLÍVAR, UPZ:68 EL TESORO, SECTOR:QUEBRADA TROMPETA</v>
          </cell>
          <cell r="J467">
            <v>6630390</v>
          </cell>
          <cell r="K467">
            <v>0</v>
          </cell>
          <cell r="L467">
            <v>6630390</v>
          </cell>
          <cell r="M467">
            <v>2040120</v>
          </cell>
          <cell r="N467">
            <v>4590270</v>
          </cell>
        </row>
        <row r="468">
          <cell r="A468">
            <v>395</v>
          </cell>
          <cell r="B468">
            <v>823</v>
          </cell>
          <cell r="C468">
            <v>43138</v>
          </cell>
          <cell r="D468" t="str">
            <v>RUBIELA  RUIZ DE MARQUEZ</v>
          </cell>
          <cell r="E468">
            <v>31</v>
          </cell>
          <cell r="F468" t="str">
            <v>RESOLUCION</v>
          </cell>
          <cell r="G468">
            <v>487</v>
          </cell>
          <cell r="H468">
            <v>43138</v>
          </cell>
          <cell r="I468" t="str">
            <v>AYUDA TEMPORAL A LAS FAMILIAS DE VARIAS LOCALIDADES, PARA RELOCALIZACIÓN DE HOGARES LOCALIZADOS EN ZONAS DE ALTO RIESGO NO MITIGABLE ID:2007-19-9701, LOCALIDAD:19 CIUDAD BOLÍVAR, UPZ:69 ISMAEL PERDOMO, SECTOR:ZANJÓN MURALLA</v>
          </cell>
          <cell r="J468">
            <v>2886653</v>
          </cell>
          <cell r="K468">
            <v>0</v>
          </cell>
          <cell r="L468">
            <v>2886653</v>
          </cell>
          <cell r="M468">
            <v>1649516</v>
          </cell>
          <cell r="N468">
            <v>1237137</v>
          </cell>
        </row>
        <row r="469">
          <cell r="A469">
            <v>395</v>
          </cell>
          <cell r="B469">
            <v>824</v>
          </cell>
          <cell r="C469">
            <v>43138</v>
          </cell>
          <cell r="D469" t="str">
            <v>ALBA LILIA GARCIA CORTES</v>
          </cell>
          <cell r="E469">
            <v>31</v>
          </cell>
          <cell r="F469" t="str">
            <v>RESOLUCION</v>
          </cell>
          <cell r="G469">
            <v>364</v>
          </cell>
          <cell r="H469">
            <v>43138</v>
          </cell>
          <cell r="I469" t="str">
            <v>AYUDA TEMPORAL A LAS FAMILIAS DE VARIAS LOCALIDADES, PARA RELOCALIZACIÓN DE HOGARES LOCALIZADOS EN ZONAS DE ALTO RIESGO NO MITIGABLE ID:2014-Q18-00938, LOCALIDAD:19 CIUDAD BOLÍVAR, UPZ:69 ISMAEL PERDOMO, SECTOR:ZANJÓN MURALLA</v>
          </cell>
          <cell r="J469">
            <v>4804800</v>
          </cell>
          <cell r="K469">
            <v>0</v>
          </cell>
          <cell r="L469">
            <v>4804800</v>
          </cell>
          <cell r="M469">
            <v>1921920</v>
          </cell>
          <cell r="N469">
            <v>2882880</v>
          </cell>
        </row>
        <row r="470">
          <cell r="A470">
            <v>395</v>
          </cell>
          <cell r="B470">
            <v>825</v>
          </cell>
          <cell r="C470">
            <v>43138</v>
          </cell>
          <cell r="D470" t="str">
            <v>YANELY  ISMARE PIRAZA</v>
          </cell>
          <cell r="E470">
            <v>31</v>
          </cell>
          <cell r="F470" t="str">
            <v>RESOLUCION</v>
          </cell>
          <cell r="G470">
            <v>430</v>
          </cell>
          <cell r="H470">
            <v>43138</v>
          </cell>
          <cell r="I470" t="str">
            <v>AYUDA TEMPORAL A LAS FAMILIAS DE VARIAS LOCALIDADES, PARA RELOCALIZACIÓN DE HOGARES LOCALIZADOS EN ZONAS DE ALTO RIESGO NO MITIGABLE ID:2014-W166-012, LOCALIDAD:19 CIUDAD BOLÍVAR, UPZ:68 EL TESORO, SECTOR:WOUNAAN</v>
          </cell>
          <cell r="J470">
            <v>6236100</v>
          </cell>
          <cell r="K470">
            <v>0</v>
          </cell>
          <cell r="L470">
            <v>6236100</v>
          </cell>
          <cell r="M470">
            <v>1918800</v>
          </cell>
          <cell r="N470">
            <v>4317300</v>
          </cell>
        </row>
        <row r="471">
          <cell r="A471">
            <v>395</v>
          </cell>
          <cell r="B471">
            <v>826</v>
          </cell>
          <cell r="C471">
            <v>43138</v>
          </cell>
          <cell r="D471" t="str">
            <v>MAR NIDIA NARVAEZ MENESES</v>
          </cell>
          <cell r="E471">
            <v>31</v>
          </cell>
          <cell r="F471" t="str">
            <v>RESOLUCION</v>
          </cell>
          <cell r="G471">
            <v>365</v>
          </cell>
          <cell r="H471">
            <v>43138</v>
          </cell>
          <cell r="I471" t="str">
            <v>AYUDA TEMPORAL A LAS FAMILIAS DE VARIAS LOCALIDADES, PARA RELOCALIZACIÓN DE HOGARES LOCALIZADOS EN ZONAS DE ALTO RIESGO NO MITIGABLE ID:2012-ALES-346, LOCALIDAD:19 CIUDAD BOLÍVAR, UPZ:69 ISMAEL PERDOMO, SECTOR:ALTOS DE LA ESTANCIA</v>
          </cell>
          <cell r="J471">
            <v>3094182</v>
          </cell>
          <cell r="K471">
            <v>0</v>
          </cell>
          <cell r="L471">
            <v>3094182</v>
          </cell>
          <cell r="M471">
            <v>1326078</v>
          </cell>
          <cell r="N471">
            <v>1768104</v>
          </cell>
        </row>
        <row r="472">
          <cell r="A472">
            <v>395</v>
          </cell>
          <cell r="B472">
            <v>827</v>
          </cell>
          <cell r="C472">
            <v>43138</v>
          </cell>
          <cell r="D472" t="str">
            <v>IRENE  YATE PAVA</v>
          </cell>
          <cell r="E472">
            <v>31</v>
          </cell>
          <cell r="F472" t="str">
            <v>RESOLUCION</v>
          </cell>
          <cell r="G472">
            <v>366</v>
          </cell>
          <cell r="H472">
            <v>43138</v>
          </cell>
          <cell r="I472" t="str">
            <v>AYUDA TEMPORAL A LAS FAMILIAS DE VARIAS LOCALIDADES, PARA RELOCALIZACIÓN DE HOGARES LOCALIZADOS EN ZONAS DE ALTO RIESGO NO MITIGABLE ID:2016-08-14819, LOCALIDAD:08 KENNEDY, UPZ:82 PATIO BONITO, SECTOR:PALMITAS</v>
          </cell>
          <cell r="J472">
            <v>3847149</v>
          </cell>
          <cell r="K472">
            <v>0</v>
          </cell>
          <cell r="L472">
            <v>3847149</v>
          </cell>
          <cell r="M472">
            <v>1709844</v>
          </cell>
          <cell r="N472">
            <v>2137305</v>
          </cell>
        </row>
        <row r="473">
          <cell r="A473">
            <v>395</v>
          </cell>
          <cell r="B473">
            <v>828</v>
          </cell>
          <cell r="C473">
            <v>43138</v>
          </cell>
          <cell r="D473" t="str">
            <v>BLANCA ARAMINTA MARTINEZ LAGUNA</v>
          </cell>
          <cell r="E473">
            <v>31</v>
          </cell>
          <cell r="F473" t="str">
            <v>RESOLUCION</v>
          </cell>
          <cell r="G473">
            <v>367</v>
          </cell>
          <cell r="H473">
            <v>43138</v>
          </cell>
          <cell r="I473" t="str">
            <v>AYUDA TEMPORAL A LAS FAMILIAS DE VARIAS LOCALIDADES, PARA RELOCALIZACIÓN DE HOGARES LOCALIZADOS EN ZONAS DE ALTO RIESGO NO MITIGABLE ID:2014-OTR-01141, LOCALIDAD:11 SUBA, UPZ:71 TIBABUYES, SECTOR:GAVILANES</v>
          </cell>
          <cell r="J473">
            <v>6530693</v>
          </cell>
          <cell r="K473">
            <v>0</v>
          </cell>
          <cell r="L473">
            <v>6530693</v>
          </cell>
          <cell r="M473">
            <v>2009444</v>
          </cell>
          <cell r="N473">
            <v>4521249</v>
          </cell>
        </row>
        <row r="474">
          <cell r="A474">
            <v>395</v>
          </cell>
          <cell r="B474">
            <v>829</v>
          </cell>
          <cell r="C474">
            <v>43138</v>
          </cell>
          <cell r="D474" t="str">
            <v>JULIO ERNESTO LAGOS MOJICA</v>
          </cell>
          <cell r="E474">
            <v>31</v>
          </cell>
          <cell r="F474" t="str">
            <v>RESOLUCION</v>
          </cell>
          <cell r="G474">
            <v>368</v>
          </cell>
          <cell r="H474">
            <v>43138</v>
          </cell>
          <cell r="I474" t="str">
            <v>AYUDA TEMPORAL A LAS FAMILIAS DE VARIAS LOCALIDADES, PARA RELOCALIZACIÓN DE HOGARES LOCALIZADOS EN ZONAS DE ALTO RIESGO NO MITIGABLE ID:2012-ALES-15, LOCALIDAD:19 CIUDAD BOLÍVAR, UPZ:69 ISMAEL PERDOMO</v>
          </cell>
          <cell r="J474">
            <v>3157315</v>
          </cell>
          <cell r="K474">
            <v>0</v>
          </cell>
          <cell r="L474">
            <v>3157315</v>
          </cell>
          <cell r="M474">
            <v>1804180</v>
          </cell>
          <cell r="N474">
            <v>1353135</v>
          </cell>
        </row>
        <row r="475">
          <cell r="A475">
            <v>395</v>
          </cell>
          <cell r="B475">
            <v>830</v>
          </cell>
          <cell r="C475">
            <v>43138</v>
          </cell>
          <cell r="D475" t="str">
            <v>ALEYDA  POSADA BEDOYA</v>
          </cell>
          <cell r="E475">
            <v>31</v>
          </cell>
          <cell r="F475" t="str">
            <v>RESOLUCION</v>
          </cell>
          <cell r="G475">
            <v>369</v>
          </cell>
          <cell r="H475">
            <v>43138</v>
          </cell>
          <cell r="I475" t="str">
            <v>AYUDA TEMPORAL A LAS FAMILIAS DE VARIAS LOCALIDADES, PARA RELOCALIZACIÓN DE HOGARES LOCALIZADOS EN ZONAS DE ALTO RIESGO NO MITIGABLE ID:2016-08-14893, LOCALIDAD:08 KENNEDY, UPZ:82 PATIO BONITO, SECTOR:PALMITAS</v>
          </cell>
          <cell r="J475">
            <v>4322879</v>
          </cell>
          <cell r="K475">
            <v>0</v>
          </cell>
          <cell r="L475">
            <v>4322879</v>
          </cell>
          <cell r="M475">
            <v>1571956</v>
          </cell>
          <cell r="N475">
            <v>2750923</v>
          </cell>
        </row>
        <row r="476">
          <cell r="A476">
            <v>395</v>
          </cell>
          <cell r="B476">
            <v>831</v>
          </cell>
          <cell r="C476">
            <v>43138</v>
          </cell>
          <cell r="D476" t="str">
            <v>ADRIANA PATRICIA QUIÑONES BUSTOS</v>
          </cell>
          <cell r="E476">
            <v>31</v>
          </cell>
          <cell r="F476" t="str">
            <v>RESOLUCION</v>
          </cell>
          <cell r="G476">
            <v>370</v>
          </cell>
          <cell r="H476">
            <v>43138</v>
          </cell>
          <cell r="I476" t="str">
            <v>AYUDA TEMPORAL A LAS FAMILIAS DE VARIAS LOCALIDADES, PARA RELOCALIZACIÓN DE HOGARES LOCALIZADOS EN ZONAS DE ALTO RIESGO NO MITIGABLE ID:2013-Q04-00528, LOCALIDAD:19 CIUDAD BOLÍVAR, UPZ:67 LUCERO, SECTOR:PEÑA COLORADA</v>
          </cell>
          <cell r="J476">
            <v>3788778</v>
          </cell>
          <cell r="K476">
            <v>0</v>
          </cell>
          <cell r="L476">
            <v>3788778</v>
          </cell>
          <cell r="M476">
            <v>2165016</v>
          </cell>
          <cell r="N476">
            <v>1623762</v>
          </cell>
        </row>
        <row r="477">
          <cell r="A477">
            <v>395</v>
          </cell>
          <cell r="B477">
            <v>832</v>
          </cell>
          <cell r="C477">
            <v>43138</v>
          </cell>
          <cell r="D477" t="str">
            <v>LUZ MARINA CRUZ</v>
          </cell>
          <cell r="E477">
            <v>31</v>
          </cell>
          <cell r="F477" t="str">
            <v>RESOLUCION</v>
          </cell>
          <cell r="G477">
            <v>371</v>
          </cell>
          <cell r="H477">
            <v>43138</v>
          </cell>
          <cell r="I477" t="str">
            <v>AYUDA TEMPORAL A LAS FAMILIAS DE VARIAS LOCALIDADES, PARA RELOCALIZACIÓN DE HOGARES LOCALIZADOS EN ZONAS DE ALTO RIESGO NO MITIGABLE ID:2012-19-14414, LOCALIDAD:19 CIUDAD BOLÍVAR, UPZ:68 EL TESORO, SECTOR:QUEBRADA TROMPETA</v>
          </cell>
          <cell r="J477">
            <v>5977530</v>
          </cell>
          <cell r="K477">
            <v>0</v>
          </cell>
          <cell r="L477">
            <v>5977530</v>
          </cell>
          <cell r="M477">
            <v>1839240</v>
          </cell>
          <cell r="N477">
            <v>4138290</v>
          </cell>
        </row>
        <row r="478">
          <cell r="A478">
            <v>587</v>
          </cell>
          <cell r="B478">
            <v>833</v>
          </cell>
          <cell r="C478">
            <v>43138</v>
          </cell>
          <cell r="D478" t="str">
            <v>YOLIBIA ANGELICA YAGUARA</v>
          </cell>
          <cell r="E478">
            <v>31</v>
          </cell>
          <cell r="F478" t="str">
            <v>RESOLUCION</v>
          </cell>
          <cell r="G478">
            <v>600</v>
          </cell>
          <cell r="H478">
            <v>43138</v>
          </cell>
          <cell r="I478" t="str">
            <v>Asignacion del instrumento financiero a las familias ocupantes del predio que hayan superado la fase de verificacion dentro  del marco del Decreto 457 de 2017. LOCALIDAD: KENNEDY; BARRIO: VEREDITAS; ID: 2017-8-383840</v>
          </cell>
          <cell r="J478">
            <v>54686940</v>
          </cell>
          <cell r="K478">
            <v>0</v>
          </cell>
          <cell r="L478">
            <v>54686940</v>
          </cell>
          <cell r="M478">
            <v>54686940</v>
          </cell>
          <cell r="N478">
            <v>0</v>
          </cell>
        </row>
        <row r="479">
          <cell r="A479">
            <v>584</v>
          </cell>
          <cell r="B479">
            <v>834</v>
          </cell>
          <cell r="C479">
            <v>43138</v>
          </cell>
          <cell r="D479" t="str">
            <v>GUILLERMO  LOPEZ SORA</v>
          </cell>
          <cell r="E479">
            <v>31</v>
          </cell>
          <cell r="F479" t="str">
            <v>RESOLUCION</v>
          </cell>
          <cell r="G479">
            <v>601</v>
          </cell>
          <cell r="H479">
            <v>43138</v>
          </cell>
          <cell r="I479" t="str">
            <v>Asignacion del instrumento financiero a las familias ocupantes del predio que hayan superado la fase de verificacion dentro  del marco del Decreto 457 de 2017. LOCALIDAD: KENNEDY; BARRIO: VEREDITAS; ID: 2017-8-383837</v>
          </cell>
          <cell r="J479">
            <v>54686940</v>
          </cell>
          <cell r="K479">
            <v>0</v>
          </cell>
          <cell r="L479">
            <v>54686940</v>
          </cell>
          <cell r="M479">
            <v>54686940</v>
          </cell>
          <cell r="N479">
            <v>0</v>
          </cell>
        </row>
        <row r="480">
          <cell r="A480">
            <v>395</v>
          </cell>
          <cell r="B480">
            <v>835</v>
          </cell>
          <cell r="C480">
            <v>43138</v>
          </cell>
          <cell r="D480" t="str">
            <v>GLORIA SOFIA ROSAS TORRES</v>
          </cell>
          <cell r="E480">
            <v>31</v>
          </cell>
          <cell r="F480" t="str">
            <v>RESOLUCION</v>
          </cell>
          <cell r="G480">
            <v>459</v>
          </cell>
          <cell r="H480">
            <v>43138</v>
          </cell>
          <cell r="I480" t="str">
            <v>AYUDA TEMPORAL A LAS FAMILIAS DE VARIAS LOCALIDADES, PARA RELOCALIZACIÓN DE HOGARES LOCALIZADOS EN ZONAS DE ALTO RIESGO NO MITIGABLE ID:2011-19-13328, LOCALIDAD:19 CIUDAD BOLÍVAR, UPZ:68 EL TESORO</v>
          </cell>
          <cell r="J480">
            <v>5612893</v>
          </cell>
          <cell r="K480">
            <v>0</v>
          </cell>
          <cell r="L480">
            <v>5612893</v>
          </cell>
          <cell r="M480">
            <v>1727044</v>
          </cell>
          <cell r="N480">
            <v>3885849</v>
          </cell>
        </row>
        <row r="481">
          <cell r="A481">
            <v>395</v>
          </cell>
          <cell r="B481">
            <v>836</v>
          </cell>
          <cell r="C481">
            <v>43138</v>
          </cell>
          <cell r="D481" t="str">
            <v>CARLOS EVELIO TANGARIFE VILLA</v>
          </cell>
          <cell r="E481">
            <v>31</v>
          </cell>
          <cell r="F481" t="str">
            <v>RESOLUCION</v>
          </cell>
          <cell r="G481">
            <v>460</v>
          </cell>
          <cell r="H481">
            <v>43138</v>
          </cell>
          <cell r="I481" t="str">
            <v>AYUDA TEMPORAL A LAS FAMILIAS DE VARIAS LOCALIDADES, PARA RELOCALIZACIÓN DE HOGARES LOCALIZADOS EN ZONAS DE ALTO RIESGO NO MITIGABLE ID:2011-4-12682, LOCALIDAD:04 SAN CRISTÓBAL, UPZ:32 SAN BLAS</v>
          </cell>
          <cell r="J481">
            <v>2838689</v>
          </cell>
          <cell r="K481">
            <v>0</v>
          </cell>
          <cell r="L481">
            <v>2838689</v>
          </cell>
          <cell r="M481">
            <v>1622108</v>
          </cell>
          <cell r="N481">
            <v>1216581</v>
          </cell>
        </row>
        <row r="482">
          <cell r="A482">
            <v>395</v>
          </cell>
          <cell r="B482">
            <v>837</v>
          </cell>
          <cell r="C482">
            <v>43138</v>
          </cell>
          <cell r="D482" t="str">
            <v>MARIA CRISTINA PRECIADO FUQUENE</v>
          </cell>
          <cell r="E482">
            <v>31</v>
          </cell>
          <cell r="F482" t="str">
            <v>RESOLUCION</v>
          </cell>
          <cell r="G482">
            <v>461</v>
          </cell>
          <cell r="H482">
            <v>43138</v>
          </cell>
          <cell r="I482" t="str">
            <v>AYUDA TEMPORAL A LAS FAMILIAS DE VARIAS LOCALIDADES, PARA RELOCALIZACIÓN DE HOGARES LOCALIZADOS EN ZONAS DE ALTO RIESGO NO MITIGABLE ID:2014-P474-00744, LOCALIDAD:04 SAN CRISTÓBAL, UPZ:33 SOSIEGO, SECTOR:PROCESO LA MARIA</v>
          </cell>
          <cell r="J482">
            <v>6006000</v>
          </cell>
          <cell r="K482">
            <v>0</v>
          </cell>
          <cell r="L482">
            <v>6006000</v>
          </cell>
          <cell r="M482">
            <v>1848000</v>
          </cell>
          <cell r="N482">
            <v>4158000</v>
          </cell>
        </row>
        <row r="483">
          <cell r="A483">
            <v>395</v>
          </cell>
          <cell r="B483">
            <v>838</v>
          </cell>
          <cell r="C483">
            <v>43138</v>
          </cell>
          <cell r="D483" t="str">
            <v>AMADEO  ESPINOSA MONDRAGON</v>
          </cell>
          <cell r="E483">
            <v>31</v>
          </cell>
          <cell r="F483" t="str">
            <v>RESOLUCION</v>
          </cell>
          <cell r="G483">
            <v>462</v>
          </cell>
          <cell r="H483">
            <v>43138</v>
          </cell>
          <cell r="I483" t="str">
            <v>AYUDA TEMPORAL A LAS FAMILIAS DE VARIAS LOCALIDADES, PARA RELOCALIZACIÓN DE HOGARES LOCALIZADOS EN ZONAS DE ALTO RIESGO NO MITIGABLE ID:2013000257, LOCALIDAD:19 CIUDAD BOLÍVAR, UPZ:67 LUCERO, SECTOR:PEÑA COLORADA</v>
          </cell>
          <cell r="J483">
            <v>2606135</v>
          </cell>
          <cell r="K483">
            <v>0</v>
          </cell>
          <cell r="L483">
            <v>2606135</v>
          </cell>
          <cell r="M483">
            <v>1489220</v>
          </cell>
          <cell r="N483">
            <v>1116915</v>
          </cell>
        </row>
        <row r="484">
          <cell r="A484">
            <v>395</v>
          </cell>
          <cell r="B484">
            <v>839</v>
          </cell>
          <cell r="C484">
            <v>43138</v>
          </cell>
          <cell r="D484" t="str">
            <v>JEIMY ANDREA RUBIO BERMUDEZ</v>
          </cell>
          <cell r="E484">
            <v>31</v>
          </cell>
          <cell r="F484" t="str">
            <v>RESOLUCION</v>
          </cell>
          <cell r="G484">
            <v>463</v>
          </cell>
          <cell r="H484">
            <v>43138</v>
          </cell>
          <cell r="I484" t="str">
            <v>AYUDA TEMPORAL A LAS FAMILIAS DE VARIAS LOCALIDADES, PARA RELOCALIZACIÓN DE HOGARES LOCALIZADOS EN ZONAS DE ALTO RIESGO NO MITIGABLE ID:2012-19-14509, LOCALIDAD:19 CIUDAD BOLÍVAR, UPZ:68 EL TESORO, SECTOR:QUEBRADA EL INFIERNO</v>
          </cell>
          <cell r="J484">
            <v>3022327</v>
          </cell>
          <cell r="K484">
            <v>0</v>
          </cell>
          <cell r="L484">
            <v>3022327</v>
          </cell>
          <cell r="M484">
            <v>1727044</v>
          </cell>
          <cell r="N484">
            <v>1295283</v>
          </cell>
        </row>
        <row r="485">
          <cell r="A485">
            <v>395</v>
          </cell>
          <cell r="B485">
            <v>840</v>
          </cell>
          <cell r="C485">
            <v>43138</v>
          </cell>
          <cell r="D485" t="str">
            <v>MARLON DAMIAN VALENCIA PERTIAGA</v>
          </cell>
          <cell r="E485">
            <v>31</v>
          </cell>
          <cell r="F485" t="str">
            <v>RESOLUCION</v>
          </cell>
          <cell r="G485">
            <v>464</v>
          </cell>
          <cell r="H485">
            <v>43138</v>
          </cell>
          <cell r="I485" t="str">
            <v>AYUDA TEMPORAL A LAS FAMILIAS DE VARIAS LOCALIDADES, PARA RELOCALIZACIÓN DE HOGARES LOCALIZADOS EN ZONAS DE ALTO RIESGO NO MITIGABLE ID:2015-W166-534, LOCALIDAD:04 SAN CRISTÓBAL, UPZ:34 20 DE JULIO, SECTOR:EPERARA</v>
          </cell>
          <cell r="J485">
            <v>7287618</v>
          </cell>
          <cell r="K485">
            <v>0</v>
          </cell>
          <cell r="L485">
            <v>7287618</v>
          </cell>
          <cell r="M485">
            <v>2242344</v>
          </cell>
          <cell r="N485">
            <v>5045274</v>
          </cell>
        </row>
        <row r="486">
          <cell r="A486">
            <v>395</v>
          </cell>
          <cell r="B486">
            <v>841</v>
          </cell>
          <cell r="C486">
            <v>43138</v>
          </cell>
          <cell r="D486" t="str">
            <v>NORBERTO  DURA ISMARE</v>
          </cell>
          <cell r="E486">
            <v>31</v>
          </cell>
          <cell r="F486" t="str">
            <v>RESOLUCION</v>
          </cell>
          <cell r="G486">
            <v>465</v>
          </cell>
          <cell r="H486">
            <v>43138</v>
          </cell>
          <cell r="I486" t="str">
            <v>AYUDA TEMPORAL A LAS FAMILIAS DE VARIAS LOCALIDADES, PARA RELOCALIZACIÓN DE HOGARES LOCALIZADOS EN ZONAS DE ALTO RIESGO NO MITIGABLE ID:2014-W166-043, LOCALIDAD:19 CIUDAD BOLÍVAR, UPZ:67 LUCERO, SECTOR:WOUNAAN</v>
          </cell>
          <cell r="J486">
            <v>5285280</v>
          </cell>
          <cell r="K486">
            <v>0</v>
          </cell>
          <cell r="L486">
            <v>5285280</v>
          </cell>
          <cell r="M486">
            <v>1626240</v>
          </cell>
          <cell r="N486">
            <v>3659040</v>
          </cell>
        </row>
        <row r="487">
          <cell r="A487">
            <v>395</v>
          </cell>
          <cell r="B487">
            <v>842</v>
          </cell>
          <cell r="C487">
            <v>43138</v>
          </cell>
          <cell r="D487" t="str">
            <v>JOSE LERU DURA ISMARE</v>
          </cell>
          <cell r="E487">
            <v>31</v>
          </cell>
          <cell r="F487" t="str">
            <v>RESOLUCION</v>
          </cell>
          <cell r="G487">
            <v>466</v>
          </cell>
          <cell r="H487">
            <v>43138</v>
          </cell>
          <cell r="I487" t="str">
            <v>AYUDA TEMPORAL A LAS FAMILIAS DE VARIAS LOCALIDADES, PARA RELOCALIZACIÓN DE HOGARES LOCALIZADOS EN ZONAS DE ALTO RIESGO NO MITIGABLE ID:2014-W166-073, LOCALIDAD:19 CIUDAD BOLÍVAR, UPZ:68 EL TESORO, SECTOR:WOUNAAN</v>
          </cell>
          <cell r="J487">
            <v>813120</v>
          </cell>
          <cell r="K487">
            <v>406560</v>
          </cell>
          <cell r="L487">
            <v>406560</v>
          </cell>
          <cell r="M487">
            <v>406560</v>
          </cell>
          <cell r="N487">
            <v>0</v>
          </cell>
        </row>
        <row r="488">
          <cell r="A488">
            <v>395</v>
          </cell>
          <cell r="B488">
            <v>843</v>
          </cell>
          <cell r="C488">
            <v>43138</v>
          </cell>
          <cell r="D488" t="str">
            <v>BLANCA LILIANA CAMARGO LOZANO</v>
          </cell>
          <cell r="E488">
            <v>31</v>
          </cell>
          <cell r="F488" t="str">
            <v>RESOLUCION</v>
          </cell>
          <cell r="G488">
            <v>467</v>
          </cell>
          <cell r="H488">
            <v>43138</v>
          </cell>
          <cell r="I488" t="str">
            <v>AYUDA TEMPORAL A LAS FAMILIAS DE VARIAS LOCALIDADES, PARA RELOCALIZACIÓN DE HOGARES LOCALIZADOS EN ZONAS DE ALTO RIESGO NO MITIGABLE ID:2015-3-14762, LOCALIDAD:03 SANTA FE, UPZ:96 LOURDES</v>
          </cell>
          <cell r="J488">
            <v>5276661</v>
          </cell>
          <cell r="K488">
            <v>0</v>
          </cell>
          <cell r="L488">
            <v>5276661</v>
          </cell>
          <cell r="M488">
            <v>1623588</v>
          </cell>
          <cell r="N488">
            <v>3653073</v>
          </cell>
        </row>
        <row r="489">
          <cell r="A489">
            <v>395</v>
          </cell>
          <cell r="B489">
            <v>844</v>
          </cell>
          <cell r="C489">
            <v>43138</v>
          </cell>
          <cell r="D489" t="str">
            <v>LUZ ANGELA CASTRO REYES</v>
          </cell>
          <cell r="E489">
            <v>31</v>
          </cell>
          <cell r="F489" t="str">
            <v>RESOLUCION</v>
          </cell>
          <cell r="G489">
            <v>468</v>
          </cell>
          <cell r="H489">
            <v>43138</v>
          </cell>
          <cell r="I489" t="str">
            <v>AYUDA TEMPORAL A LAS FAMILIAS DE VARIAS LOCALIDADES, PARA RELOCALIZACIÓN DE HOGARES LOCALIZADOS EN ZONAS DE ALTO RIESGO NO MITIGABLE ID:2012-19-13954, LOCALIDAD:19 CIUDAD BOLÍVAR, UPZ:68 EL TESORO</v>
          </cell>
          <cell r="J489">
            <v>4491802</v>
          </cell>
          <cell r="K489">
            <v>0</v>
          </cell>
          <cell r="L489">
            <v>4491802</v>
          </cell>
          <cell r="M489">
            <v>2566744</v>
          </cell>
          <cell r="N489">
            <v>1925058</v>
          </cell>
        </row>
        <row r="490">
          <cell r="A490">
            <v>395</v>
          </cell>
          <cell r="B490">
            <v>845</v>
          </cell>
          <cell r="C490">
            <v>43138</v>
          </cell>
          <cell r="D490" t="str">
            <v>MARIA YOLANDA NAJAR</v>
          </cell>
          <cell r="E490">
            <v>31</v>
          </cell>
          <cell r="F490" t="str">
            <v>RESOLUCION</v>
          </cell>
          <cell r="G490">
            <v>469</v>
          </cell>
          <cell r="H490">
            <v>43138</v>
          </cell>
          <cell r="I490" t="str">
            <v>AYUDA TEMPORAL A LAS FAMILIAS DE VARIAS LOCALIDADES, PARA RELOCALIZACIÓN DE HOGARES LOCALIZADOS EN ZONAS DE ALTO RIESGO NO MITIGABLE ID:2006-3-9158, LOCALIDAD:03 SANTA FE, UPZ:92 LA MACARENA</v>
          </cell>
          <cell r="J490">
            <v>5430984</v>
          </cell>
          <cell r="K490">
            <v>0</v>
          </cell>
          <cell r="L490">
            <v>5430984</v>
          </cell>
          <cell r="M490">
            <v>1671072</v>
          </cell>
          <cell r="N490">
            <v>3759912</v>
          </cell>
        </row>
        <row r="491">
          <cell r="A491">
            <v>395</v>
          </cell>
          <cell r="B491">
            <v>846</v>
          </cell>
          <cell r="C491">
            <v>43138</v>
          </cell>
          <cell r="D491" t="str">
            <v>CARLOS JULIO CUCUNUBA PANQUEBA</v>
          </cell>
          <cell r="E491">
            <v>31</v>
          </cell>
          <cell r="F491" t="str">
            <v>RESOLUCION</v>
          </cell>
          <cell r="G491">
            <v>470</v>
          </cell>
          <cell r="H491">
            <v>43138</v>
          </cell>
          <cell r="I491" t="str">
            <v>AYUDA TEMPORAL A LAS FAMILIAS DE VARIAS LOCALIDADES, PARA RELOCALIZACIÓN DE HOGARES LOCALIZADOS EN ZONAS DE ALTO RIESGO NO MITIGABLE ID:2015-D227-00044, LOCALIDAD:04 SAN CRISTÓBAL, UPZ:51 LOS LIBERTADORES, SECTOR:SANTA TERESITA</v>
          </cell>
          <cell r="J491">
            <v>5612893</v>
          </cell>
          <cell r="K491">
            <v>0</v>
          </cell>
          <cell r="L491">
            <v>5612893</v>
          </cell>
          <cell r="M491">
            <v>1727044</v>
          </cell>
          <cell r="N491">
            <v>3885849</v>
          </cell>
        </row>
        <row r="492">
          <cell r="A492">
            <v>395</v>
          </cell>
          <cell r="B492">
            <v>847</v>
          </cell>
          <cell r="C492">
            <v>43138</v>
          </cell>
          <cell r="D492" t="str">
            <v>LUZ MARINA QUIROGA</v>
          </cell>
          <cell r="E492">
            <v>31</v>
          </cell>
          <cell r="F492" t="str">
            <v>RESOLUCION</v>
          </cell>
          <cell r="G492">
            <v>472</v>
          </cell>
          <cell r="H492">
            <v>43138</v>
          </cell>
          <cell r="I492" t="str">
            <v>AYUDA TEMPORAL A LAS FAMILIAS DE VARIAS LOCALIDADES, PARA RELOCALIZACIÓN DE HOGARES LOCALIZADOS EN ZONAS DE ALTO RIESGO NO MITIGABLE ID:2016-08-14881, LOCALIDAD:08 KENNEDY, UPZ:82 PATIO BONITO, SECTOR:PALMITAS</v>
          </cell>
          <cell r="J492">
            <v>5274672</v>
          </cell>
          <cell r="K492">
            <v>0</v>
          </cell>
          <cell r="L492">
            <v>5274672</v>
          </cell>
          <cell r="M492">
            <v>1622976</v>
          </cell>
          <cell r="N492">
            <v>3651696</v>
          </cell>
        </row>
        <row r="493">
          <cell r="A493">
            <v>395</v>
          </cell>
          <cell r="B493">
            <v>848</v>
          </cell>
          <cell r="C493">
            <v>43138</v>
          </cell>
          <cell r="D493" t="str">
            <v>MARIA ODILIA BARBOSA SABOGAL</v>
          </cell>
          <cell r="E493">
            <v>31</v>
          </cell>
          <cell r="F493" t="str">
            <v>RESOLUCION</v>
          </cell>
          <cell r="G493">
            <v>473</v>
          </cell>
          <cell r="H493">
            <v>43138</v>
          </cell>
          <cell r="I493" t="str">
            <v>AYUDA TEMPORAL A LAS FAMILIAS DE VARIAS LOCALIDADES, PARA RELOCALIZACIÓN DE HOGARES LOCALIZADOS EN ZONAS DE ALTO RIESGO NO MITIGABLE ID:2013000130, LOCALIDAD:04 SAN CRISTÓBAL, UPZ:51 LOS LIBERTADORES, SECTOR:QUEBRADA VEREJONES</v>
          </cell>
          <cell r="J493">
            <v>5285280</v>
          </cell>
          <cell r="K493">
            <v>0</v>
          </cell>
          <cell r="L493">
            <v>5285280</v>
          </cell>
          <cell r="M493">
            <v>1626240</v>
          </cell>
          <cell r="N493">
            <v>3659040</v>
          </cell>
        </row>
        <row r="494">
          <cell r="A494">
            <v>395</v>
          </cell>
          <cell r="B494">
            <v>849</v>
          </cell>
          <cell r="C494">
            <v>43138</v>
          </cell>
          <cell r="D494" t="str">
            <v>MIRYAM  PIAMBA MAJIN</v>
          </cell>
          <cell r="E494">
            <v>31</v>
          </cell>
          <cell r="F494" t="str">
            <v>RESOLUCION</v>
          </cell>
          <cell r="G494">
            <v>474</v>
          </cell>
          <cell r="H494">
            <v>43138</v>
          </cell>
          <cell r="I494" t="str">
            <v>AYUDA TEMPORAL A LAS FAMILIAS DE VARIAS LOCALIDADES, PARA RELOCALIZACIÓN DE HOGARES LOCALIZADOS EN ZONAS DE ALTO RIESGO NO MITIGABLE ID:2011-4-13294, LOCALIDAD:04 SAN CRISTÓBAL, UPZ:51 LOS LIBERTADORES, SECTOR:QUEBRADA VEREJONES</v>
          </cell>
          <cell r="J494">
            <v>6127264</v>
          </cell>
          <cell r="K494">
            <v>0</v>
          </cell>
          <cell r="L494">
            <v>6127264</v>
          </cell>
          <cell r="M494">
            <v>1885312</v>
          </cell>
          <cell r="N494">
            <v>4241952</v>
          </cell>
        </row>
        <row r="495">
          <cell r="A495">
            <v>395</v>
          </cell>
          <cell r="B495">
            <v>850</v>
          </cell>
          <cell r="C495">
            <v>43138</v>
          </cell>
          <cell r="D495" t="str">
            <v>JORGE ANDRES MARTINEZ</v>
          </cell>
          <cell r="E495">
            <v>31</v>
          </cell>
          <cell r="F495" t="str">
            <v>RESOLUCION</v>
          </cell>
          <cell r="G495">
            <v>475</v>
          </cell>
          <cell r="H495">
            <v>43138</v>
          </cell>
          <cell r="I495" t="str">
            <v>AYUDA TEMPORAL A LAS FAMILIAS DE VARIAS LOCALIDADES, PARA RELOCALIZACIÓN DE HOGARES LOCALIZADOS EN ZONAS DE ALTO RIESGO NO MITIGABLE ID:2017-08-14926, LOCALIDAD:08 KENNEDY, UPZ:82 PATIO BONITO, SECTOR:PALMITAS</v>
          </cell>
          <cell r="J495">
            <v>5825885</v>
          </cell>
          <cell r="K495">
            <v>0</v>
          </cell>
          <cell r="L495">
            <v>5825885</v>
          </cell>
          <cell r="M495">
            <v>896290</v>
          </cell>
          <cell r="N495">
            <v>4929595</v>
          </cell>
        </row>
        <row r="496">
          <cell r="A496">
            <v>395</v>
          </cell>
          <cell r="B496">
            <v>851</v>
          </cell>
          <cell r="C496">
            <v>43138</v>
          </cell>
          <cell r="D496" t="str">
            <v>LUZ STELLA MORA CABALLERO</v>
          </cell>
          <cell r="E496">
            <v>31</v>
          </cell>
          <cell r="F496" t="str">
            <v>RESOLUCION</v>
          </cell>
          <cell r="G496">
            <v>476</v>
          </cell>
          <cell r="H496">
            <v>43138</v>
          </cell>
          <cell r="I496" t="str">
            <v>AYUDA TEMPORAL A LAS FAMILIAS DE VARIAS LOCALIDADES, PARA RELOCALIZACIÓN DE HOGARES LOCALIZADOS EN ZONAS DE ALTO RIESGO NO MITIGABLE ID:2013000251, LOCALIDAD:19 CIUDAD BOLÍVAR, UPZ:67 LUCERO, SECTOR:PEÑA COLORADA</v>
          </cell>
          <cell r="J496">
            <v>3873016</v>
          </cell>
          <cell r="K496">
            <v>0</v>
          </cell>
          <cell r="L496">
            <v>3873016</v>
          </cell>
          <cell r="M496">
            <v>2213152</v>
          </cell>
          <cell r="N496">
            <v>1659864</v>
          </cell>
        </row>
        <row r="497">
          <cell r="A497">
            <v>395</v>
          </cell>
          <cell r="B497">
            <v>852</v>
          </cell>
          <cell r="C497">
            <v>43138</v>
          </cell>
          <cell r="D497" t="str">
            <v>LUIS ENRIQUE CARDOZO ACOSTA</v>
          </cell>
          <cell r="E497">
            <v>31</v>
          </cell>
          <cell r="F497" t="str">
            <v>RESOLUCION</v>
          </cell>
          <cell r="G497">
            <v>477</v>
          </cell>
          <cell r="H497">
            <v>43138</v>
          </cell>
          <cell r="I497" t="str">
            <v>AYUDA TEMPORAL A LAS FAMILIAS DE VARIAS LOCALIDADES, PARA RELOCALIZACIÓN DE HOGARES LOCALIZADOS EN ZONAS DE ALTO RIESGO NO MITIGABLE ID:2012-4-14267, LOCALIDAD:04 SAN CRISTÓBAL, UPZ:32 SAN BLAS</v>
          </cell>
          <cell r="J497">
            <v>4942301</v>
          </cell>
          <cell r="K497">
            <v>0</v>
          </cell>
          <cell r="L497">
            <v>4942301</v>
          </cell>
          <cell r="M497">
            <v>1520708</v>
          </cell>
          <cell r="N497">
            <v>3421593</v>
          </cell>
        </row>
        <row r="498">
          <cell r="A498">
            <v>395</v>
          </cell>
          <cell r="B498">
            <v>853</v>
          </cell>
          <cell r="C498">
            <v>43139</v>
          </cell>
          <cell r="D498" t="str">
            <v>ALBENIS  TORRES</v>
          </cell>
          <cell r="E498">
            <v>31</v>
          </cell>
          <cell r="F498" t="str">
            <v>RESOLUCION</v>
          </cell>
          <cell r="G498">
            <v>431</v>
          </cell>
          <cell r="H498">
            <v>43139</v>
          </cell>
          <cell r="I498" t="str">
            <v>AYUDA TEMPORAL A LAS FAMILIAS DE VARIAS LOCALIDADES, PARA RELOCALIZACIÓN DE HOGARES LOCALIZADOS EN ZONAS DE ALTO RIESGO NO MITIGABLE ID:2013-Q10-00213, LOCALIDAD:04 SAN CRISTÓBAL, UPZ:51 LOS LIBERTADORES, SECTOR:QUEBRADA VEREJONES</v>
          </cell>
          <cell r="J498">
            <v>2887073</v>
          </cell>
          <cell r="K498">
            <v>0</v>
          </cell>
          <cell r="L498">
            <v>2887073</v>
          </cell>
          <cell r="M498">
            <v>1649756</v>
          </cell>
          <cell r="N498">
            <v>1237317</v>
          </cell>
        </row>
        <row r="499">
          <cell r="A499">
            <v>395</v>
          </cell>
          <cell r="B499">
            <v>854</v>
          </cell>
          <cell r="C499">
            <v>43139</v>
          </cell>
          <cell r="D499" t="str">
            <v>ALCIRA  VELASQUEZ CHIQUIZA</v>
          </cell>
          <cell r="E499">
            <v>31</v>
          </cell>
          <cell r="F499" t="str">
            <v>RESOLUCION</v>
          </cell>
          <cell r="G499">
            <v>432</v>
          </cell>
          <cell r="H499">
            <v>43139</v>
          </cell>
          <cell r="I499" t="str">
            <v>AYUDA TEMPORAL A LAS FAMILIAS DE VARIAS LOCALIDADES, PARA RELOCALIZACIÓN DE HOGARES LOCALIZADOS EN ZONAS DE ALTO RIESGO NO MITIGABLE ID:2011-19-12536, LOCALIDAD:19 CIUDAD BOLÍVAR, UPZ:69 ISMAEL PERDOMO, SECTOR:OLA INVERNAL 2010 FOPAE</v>
          </cell>
          <cell r="J499">
            <v>2845920</v>
          </cell>
          <cell r="K499">
            <v>0</v>
          </cell>
          <cell r="L499">
            <v>2845920</v>
          </cell>
          <cell r="M499">
            <v>1626240</v>
          </cell>
          <cell r="N499">
            <v>1219680</v>
          </cell>
        </row>
        <row r="500">
          <cell r="A500">
            <v>395</v>
          </cell>
          <cell r="B500">
            <v>855</v>
          </cell>
          <cell r="C500">
            <v>43139</v>
          </cell>
          <cell r="D500" t="str">
            <v>LUZ ESPERANZA AGUILAR CUTIVA</v>
          </cell>
          <cell r="E500">
            <v>31</v>
          </cell>
          <cell r="F500" t="str">
            <v>RESOLUCION</v>
          </cell>
          <cell r="G500">
            <v>433</v>
          </cell>
          <cell r="H500">
            <v>43139</v>
          </cell>
          <cell r="I500" t="str">
            <v>AYUDA TEMPORAL A LAS FAMILIAS DE VARIAS LOCALIDADES, PARA RELOCALIZACIÓN DE HOGARES LOCALIZADOS EN ZONAS DE ALTO RIESGO NO MITIGABLE ID:2014-Q03-00992, LOCALIDAD:19 CIUDAD BOLÍVAR, UPZ:66 SAN FRANCISCO, SECTOR:LIMAS</v>
          </cell>
          <cell r="J500">
            <v>3606526</v>
          </cell>
          <cell r="K500">
            <v>0</v>
          </cell>
          <cell r="L500">
            <v>3606526</v>
          </cell>
          <cell r="M500">
            <v>2060872</v>
          </cell>
          <cell r="N500">
            <v>1545654</v>
          </cell>
        </row>
        <row r="501">
          <cell r="A501">
            <v>395</v>
          </cell>
          <cell r="B501">
            <v>856</v>
          </cell>
          <cell r="C501">
            <v>43139</v>
          </cell>
          <cell r="D501" t="str">
            <v>YOLANDA  RINCON RODRIGUEZ</v>
          </cell>
          <cell r="E501">
            <v>31</v>
          </cell>
          <cell r="F501" t="str">
            <v>RESOLUCION</v>
          </cell>
          <cell r="G501">
            <v>434</v>
          </cell>
          <cell r="H501">
            <v>43139</v>
          </cell>
          <cell r="I501" t="str">
            <v>AYUDA TEMPORAL A LAS FAMILIAS DE VARIAS LOCALIDADES, PARA RELOCALIZACIÓN DE HOGARES LOCALIZADOS EN ZONAS DE ALTO RIESGO NO MITIGABLE ID:2006-19-8121, LOCALIDAD:19 CIUDAD BOLÍVAR, UPZ:66 SAN FRANCISCO</v>
          </cell>
          <cell r="J501">
            <v>6743880</v>
          </cell>
          <cell r="K501">
            <v>0</v>
          </cell>
          <cell r="L501">
            <v>6743880</v>
          </cell>
          <cell r="M501">
            <v>2075040</v>
          </cell>
          <cell r="N501">
            <v>4668840</v>
          </cell>
        </row>
        <row r="502">
          <cell r="A502">
            <v>395</v>
          </cell>
          <cell r="B502">
            <v>857</v>
          </cell>
          <cell r="C502">
            <v>43139</v>
          </cell>
          <cell r="D502" t="str">
            <v>BRUCELEE  MOÑA MEPAQUITO</v>
          </cell>
          <cell r="E502">
            <v>31</v>
          </cell>
          <cell r="F502" t="str">
            <v>RESOLUCION</v>
          </cell>
          <cell r="G502">
            <v>435</v>
          </cell>
          <cell r="H502">
            <v>43139</v>
          </cell>
          <cell r="I502" t="str">
            <v>AYUDA TEMPORAL A LAS FAMILIAS DE VARIAS LOCALIDADES, PARA RELOCALIZACIÓN DE HOGARES LOCALIZADOS EN ZONAS DE ALTO RIESGO NO MITIGABLE ID:2015-W166-522, LOCALIDAD:19 CIUDAD BOLÍVAR, UPZ:67 LUCERO, SECTOR:WOUNAAN</v>
          </cell>
          <cell r="J502">
            <v>6868797</v>
          </cell>
          <cell r="K502">
            <v>0</v>
          </cell>
          <cell r="L502">
            <v>6868797</v>
          </cell>
          <cell r="M502">
            <v>2113476</v>
          </cell>
          <cell r="N502">
            <v>4755321</v>
          </cell>
        </row>
        <row r="503">
          <cell r="A503">
            <v>395</v>
          </cell>
          <cell r="B503">
            <v>858</v>
          </cell>
          <cell r="C503">
            <v>43139</v>
          </cell>
          <cell r="D503" t="str">
            <v>LUIS ORLANDO AGUILLON CASTAÑEDA</v>
          </cell>
          <cell r="E503">
            <v>31</v>
          </cell>
          <cell r="F503" t="str">
            <v>RESOLUCION</v>
          </cell>
          <cell r="G503">
            <v>436</v>
          </cell>
          <cell r="H503">
            <v>43139</v>
          </cell>
          <cell r="I503" t="str">
            <v>AYUDA TEMPORAL A LAS FAMILIAS DE VARIAS LOCALIDADES, PARA RELOCALIZACIÓN DE HOGARES LOCALIZADOS EN ZONAS DE ALTO RIESGO NO MITIGABLE ID:2014-19-14698, LOCALIDAD:19 CIUDAD BOLÍVAR, UPZ:67 LUCERO</v>
          </cell>
          <cell r="J503">
            <v>2846046</v>
          </cell>
          <cell r="K503">
            <v>0</v>
          </cell>
          <cell r="L503">
            <v>2846046</v>
          </cell>
          <cell r="M503">
            <v>1626312</v>
          </cell>
          <cell r="N503">
            <v>1219734</v>
          </cell>
        </row>
        <row r="504">
          <cell r="A504">
            <v>395</v>
          </cell>
          <cell r="B504">
            <v>859</v>
          </cell>
          <cell r="C504">
            <v>43139</v>
          </cell>
          <cell r="D504" t="str">
            <v>MARIA HIDALIA DURANGO</v>
          </cell>
          <cell r="E504">
            <v>31</v>
          </cell>
          <cell r="F504" t="str">
            <v>RESOLUCION</v>
          </cell>
          <cell r="G504">
            <v>437</v>
          </cell>
          <cell r="H504">
            <v>43139</v>
          </cell>
          <cell r="I504" t="str">
            <v>AYUDA TEMPORAL A LAS FAMILIAS DE VARIAS LOCALIDADES, PARA RELOCALIZACIÓN DE HOGARES LOCALIZADOS EN ZONAS DE ALTO RIESGO NO MITIGABLE ID:2011-5-13011, LOCALIDAD:05 USME, UPZ:56 DANUBIO</v>
          </cell>
          <cell r="J504">
            <v>2582006</v>
          </cell>
          <cell r="K504">
            <v>0</v>
          </cell>
          <cell r="L504">
            <v>2582006</v>
          </cell>
          <cell r="M504">
            <v>1475432</v>
          </cell>
          <cell r="N504">
            <v>1106574</v>
          </cell>
        </row>
        <row r="505">
          <cell r="A505">
            <v>395</v>
          </cell>
          <cell r="B505">
            <v>860</v>
          </cell>
          <cell r="C505">
            <v>43139</v>
          </cell>
          <cell r="D505" t="str">
            <v>NELSON  DELGADO RAMIREZ</v>
          </cell>
          <cell r="E505">
            <v>31</v>
          </cell>
          <cell r="F505" t="str">
            <v>RESOLUCION</v>
          </cell>
          <cell r="G505">
            <v>438</v>
          </cell>
          <cell r="H505">
            <v>43139</v>
          </cell>
          <cell r="I505" t="str">
            <v>AYUDA TEMPORAL A LAS FAMILIAS DE VARIAS LOCALIDADES, PARA RELOCALIZACIÓN DE HOGARES LOCALIZADOS EN ZONAS DE ALTO RIESGO NO MITIGABLE ID:2014-Q09-01185, LOCALIDAD:19 CIUDAD BOLÍVAR, UPZ:67 LUCERO, SECTOR:QUEBRADA TROMPETA</v>
          </cell>
          <cell r="J505">
            <v>2434516</v>
          </cell>
          <cell r="K505">
            <v>0</v>
          </cell>
          <cell r="L505">
            <v>2434516</v>
          </cell>
          <cell r="M505">
            <v>1391152</v>
          </cell>
          <cell r="N505">
            <v>1043364</v>
          </cell>
        </row>
        <row r="506">
          <cell r="A506">
            <v>395</v>
          </cell>
          <cell r="B506">
            <v>861</v>
          </cell>
          <cell r="C506">
            <v>43139</v>
          </cell>
          <cell r="D506" t="str">
            <v>ALEXANDRA NATALI SANCHEZ RODRIGUEZ</v>
          </cell>
          <cell r="E506">
            <v>31</v>
          </cell>
          <cell r="F506" t="str">
            <v>RESOLUCION</v>
          </cell>
          <cell r="G506">
            <v>439</v>
          </cell>
          <cell r="H506">
            <v>43139</v>
          </cell>
          <cell r="I506" t="str">
            <v>AYUDA TEMPORAL A LAS FAMILIAS DE VARIAS LOCALIDADES, PARA RELOCALIZACIÓN DE HOGARES LOCALIZADOS EN ZONAS DE ALTO RIESGO NO MITIGABLE ID:2015-ALES-534, LOCALIDAD:19 CIUDAD BOLÍVAR, UPZ:69 ISMAEL PERDOMO, SECTOR:ALTOS DE LA ESTANCIA</v>
          </cell>
          <cell r="J506">
            <v>5863585</v>
          </cell>
          <cell r="K506">
            <v>0</v>
          </cell>
          <cell r="L506">
            <v>5863585</v>
          </cell>
          <cell r="M506">
            <v>1804180</v>
          </cell>
          <cell r="N506">
            <v>4059405</v>
          </cell>
        </row>
        <row r="507">
          <cell r="A507">
            <v>395</v>
          </cell>
          <cell r="B507">
            <v>862</v>
          </cell>
          <cell r="C507">
            <v>43139</v>
          </cell>
          <cell r="D507" t="str">
            <v>YENI ESPERANZA ROJAS MARTINEZ</v>
          </cell>
          <cell r="E507">
            <v>31</v>
          </cell>
          <cell r="F507" t="str">
            <v>RESOLUCION</v>
          </cell>
          <cell r="G507">
            <v>440</v>
          </cell>
          <cell r="H507">
            <v>43139</v>
          </cell>
          <cell r="I507" t="str">
            <v>AYUDA TEMPORAL A LAS FAMILIAS DE VARIAS LOCALIDADES, PARA RELOCALIZACIÓN DE HOGARES LOCALIZADOS EN ZONAS DE ALTO RIESGO NO MITIGABLE ID:2015-19-14746, LOCALIDAD:19 CIUDAD BOLÍVAR, UPZ:68 EL TESORO</v>
          </cell>
          <cell r="J507">
            <v>4986969</v>
          </cell>
          <cell r="K507">
            <v>0</v>
          </cell>
          <cell r="L507">
            <v>4986969</v>
          </cell>
          <cell r="M507">
            <v>1534452</v>
          </cell>
          <cell r="N507">
            <v>3452517</v>
          </cell>
        </row>
        <row r="508">
          <cell r="A508">
            <v>395</v>
          </cell>
          <cell r="B508">
            <v>863</v>
          </cell>
          <cell r="C508">
            <v>43139</v>
          </cell>
          <cell r="D508" t="str">
            <v>ROMULO JESUS YATE VEGA</v>
          </cell>
          <cell r="E508">
            <v>31</v>
          </cell>
          <cell r="F508" t="str">
            <v>RESOLUCION</v>
          </cell>
          <cell r="G508">
            <v>441</v>
          </cell>
          <cell r="H508">
            <v>43139</v>
          </cell>
          <cell r="I508" t="str">
            <v>AYUDA TEMPORAL A LAS FAMILIAS DE VARIAS LOCALIDADES, PARA RELOCALIZACIÓN DE HOGARES LOCALIZADOS EN ZONAS DE ALTO RIESGO NO MITIGABLE ID:2012-ALES-377, LOCALIDAD:19 CIUDAD BOLÍVAR, UPZ:69 ISMAEL PERDOMO, SECTOR:ALTOS DE LA ESTANCIA</v>
          </cell>
          <cell r="J508">
            <v>3017000</v>
          </cell>
          <cell r="K508">
            <v>0</v>
          </cell>
          <cell r="L508">
            <v>3017000</v>
          </cell>
          <cell r="M508">
            <v>1724000</v>
          </cell>
          <cell r="N508">
            <v>1293000</v>
          </cell>
        </row>
        <row r="509">
          <cell r="A509">
            <v>395</v>
          </cell>
          <cell r="B509">
            <v>864</v>
          </cell>
          <cell r="C509">
            <v>43139</v>
          </cell>
          <cell r="D509" t="str">
            <v>ADRIANA  SIERRA</v>
          </cell>
          <cell r="E509">
            <v>31</v>
          </cell>
          <cell r="F509" t="str">
            <v>RESOLUCION</v>
          </cell>
          <cell r="G509">
            <v>442</v>
          </cell>
          <cell r="H509">
            <v>43139</v>
          </cell>
          <cell r="I509" t="str">
            <v>AYUDA TEMPORAL A LAS FAMILIAS DE VARIAS LOCALIDADES, PARA RELOCALIZACIÓN DE HOGARES LOCALIZADOS EN ZONAS DE ALTO RIESGO NO MITIGABLE ID:2014-OTR-00952, LOCALIDAD:19 CIUDAD BOLÍVAR, UPZ:67 LUCERO, SECTOR:TABOR ALTALOMA</v>
          </cell>
          <cell r="J509">
            <v>3017000</v>
          </cell>
          <cell r="K509">
            <v>0</v>
          </cell>
          <cell r="L509">
            <v>3017000</v>
          </cell>
          <cell r="M509">
            <v>1724000</v>
          </cell>
          <cell r="N509">
            <v>1293000</v>
          </cell>
        </row>
        <row r="510">
          <cell r="A510">
            <v>395</v>
          </cell>
          <cell r="B510">
            <v>865</v>
          </cell>
          <cell r="C510">
            <v>43139</v>
          </cell>
          <cell r="D510" t="str">
            <v>JHON EDUARDO CABALLERO URRIAGO</v>
          </cell>
          <cell r="E510">
            <v>31</v>
          </cell>
          <cell r="F510" t="str">
            <v>RESOLUCION</v>
          </cell>
          <cell r="G510">
            <v>443</v>
          </cell>
          <cell r="H510">
            <v>43139</v>
          </cell>
          <cell r="I510" t="str">
            <v>AYUDA TEMPORAL A LAS FAMILIAS DE VARIAS LOCALIDADES, PARA RELOCALIZACIÓN DE HOGARES LOCALIZADOS EN ZONAS DE ALTO RIESGO NO MITIGABLE ID:2014-Q03-01081, LOCALIDAD:19 CIUDAD BOLÍVAR, UPZ:66 SAN FRANCISCO, SECTOR:LIMAS</v>
          </cell>
          <cell r="J510">
            <v>2582006</v>
          </cell>
          <cell r="K510">
            <v>0</v>
          </cell>
          <cell r="L510">
            <v>2582006</v>
          </cell>
          <cell r="M510">
            <v>1475432</v>
          </cell>
          <cell r="N510">
            <v>1106574</v>
          </cell>
        </row>
        <row r="511">
          <cell r="A511">
            <v>395</v>
          </cell>
          <cell r="B511">
            <v>866</v>
          </cell>
          <cell r="C511">
            <v>43139</v>
          </cell>
          <cell r="D511" t="str">
            <v>ELIDA  MOÑA ISMARE</v>
          </cell>
          <cell r="E511">
            <v>31</v>
          </cell>
          <cell r="F511" t="str">
            <v>RESOLUCION</v>
          </cell>
          <cell r="G511">
            <v>444</v>
          </cell>
          <cell r="H511">
            <v>43139</v>
          </cell>
          <cell r="I511" t="str">
            <v>AYUDA TEMPORAL A LAS FAMILIAS DE VARIAS LOCALIDADES, PARA RELOCALIZACIÓN DE HOGARES LOCALIZADOS EN ZONAS DE ALTO RIESGO NO MITIGABLE ID:2015-W166-525, LOCALIDAD:05 USME, UPZ:59 ALFONSO LÓPEZ, SECTOR:WOUNAAN</v>
          </cell>
          <cell r="J511">
            <v>6868797</v>
          </cell>
          <cell r="K511">
            <v>0</v>
          </cell>
          <cell r="L511">
            <v>6868797</v>
          </cell>
          <cell r="M511">
            <v>2113476</v>
          </cell>
          <cell r="N511">
            <v>4755321</v>
          </cell>
        </row>
        <row r="512">
          <cell r="A512">
            <v>395</v>
          </cell>
          <cell r="B512">
            <v>867</v>
          </cell>
          <cell r="C512">
            <v>43139</v>
          </cell>
          <cell r="D512" t="str">
            <v>JOEL ANTONIO VARELA LUGO</v>
          </cell>
          <cell r="E512">
            <v>31</v>
          </cell>
          <cell r="F512" t="str">
            <v>RESOLUCION</v>
          </cell>
          <cell r="G512">
            <v>445</v>
          </cell>
          <cell r="H512">
            <v>43139</v>
          </cell>
          <cell r="I512" t="str">
            <v>AYUDA TEMPORAL A LAS FAMILIAS DE VARIAS LOCALIDADES, PARA RELOCALIZACIÓN DE HOGARES LOCALIZADOS EN ZONAS DE ALTO RIESGO NO MITIGABLE ID:2012-T314-16, LOCALIDAD:04 SAN CRISTÓBAL, UPZ:50 LA GLORIA</v>
          </cell>
          <cell r="J512">
            <v>2334420</v>
          </cell>
          <cell r="K512">
            <v>0</v>
          </cell>
          <cell r="L512">
            <v>2334420</v>
          </cell>
          <cell r="M512">
            <v>1167210</v>
          </cell>
          <cell r="N512">
            <v>1167210</v>
          </cell>
        </row>
        <row r="513">
          <cell r="A513">
            <v>395</v>
          </cell>
          <cell r="B513">
            <v>868</v>
          </cell>
          <cell r="C513">
            <v>43139</v>
          </cell>
          <cell r="D513" t="str">
            <v>MARIA CRISTINA GALINDO MEDINA</v>
          </cell>
          <cell r="E513">
            <v>31</v>
          </cell>
          <cell r="F513" t="str">
            <v>RESOLUCION</v>
          </cell>
          <cell r="G513">
            <v>446</v>
          </cell>
          <cell r="H513">
            <v>43139</v>
          </cell>
          <cell r="I513" t="str">
            <v>AYUDA TEMPORAL A LAS FAMILIAS DE VARIAS LOCALIDADES, PARA RELOCALIZACIÓN DE HOGARES LOCALIZADOS EN ZONAS DE ALTO RIESGO NO MITIGABLE ID:2011-4-12676, LOCALIDAD:04 SAN CRISTÓBAL, UPZ:32 SAN BLAS</v>
          </cell>
          <cell r="J513">
            <v>2087754</v>
          </cell>
          <cell r="K513">
            <v>0</v>
          </cell>
          <cell r="L513">
            <v>2087754</v>
          </cell>
          <cell r="M513">
            <v>1043877</v>
          </cell>
          <cell r="N513">
            <v>1043877</v>
          </cell>
        </row>
        <row r="514">
          <cell r="A514">
            <v>395</v>
          </cell>
          <cell r="B514">
            <v>869</v>
          </cell>
          <cell r="C514">
            <v>43139</v>
          </cell>
          <cell r="D514" t="str">
            <v>JAQUELINE  LOPEZ PEREZ</v>
          </cell>
          <cell r="E514">
            <v>31</v>
          </cell>
          <cell r="F514" t="str">
            <v>RESOLUCION</v>
          </cell>
          <cell r="G514">
            <v>447</v>
          </cell>
          <cell r="H514">
            <v>43139</v>
          </cell>
          <cell r="I514" t="str">
            <v>AYUDA TEMPORAL A LAS FAMILIAS DE VARIAS LOCALIDADES, PARA RELOCALIZACIÓN DE HOGARES LOCALIZADOS EN ZONAS DE ALTO RIESGO NO MITIGABLE ID:2012-T314-10, LOCALIDAD:04 SAN CRISTÓBAL, UPZ:50 LA GLORIA</v>
          </cell>
          <cell r="J514">
            <v>2244132</v>
          </cell>
          <cell r="K514">
            <v>0</v>
          </cell>
          <cell r="L514">
            <v>2244132</v>
          </cell>
          <cell r="M514">
            <v>1122066</v>
          </cell>
          <cell r="N514">
            <v>1122066</v>
          </cell>
        </row>
        <row r="515">
          <cell r="A515">
            <v>395</v>
          </cell>
          <cell r="B515">
            <v>870</v>
          </cell>
          <cell r="C515">
            <v>43139</v>
          </cell>
          <cell r="D515" t="str">
            <v>SILVIA ESPERANZA ALDANA PULIDO</v>
          </cell>
          <cell r="E515">
            <v>31</v>
          </cell>
          <cell r="F515" t="str">
            <v>RESOLUCION</v>
          </cell>
          <cell r="G515">
            <v>448</v>
          </cell>
          <cell r="H515">
            <v>43139</v>
          </cell>
          <cell r="I515" t="str">
            <v>AYUDA TEMPORAL A LAS FAMILIAS DE VARIAS LOCALIDADES, PARA RELOCALIZACIÓN DE HOGARES LOCALIZADOS EN ZONAS DE ALTO RIESGO NO MITIGABLE ID:2012-T314-12, LOCALIDAD:04 SAN CRISTÓBAL, UPZ:50 LA GLORIA</v>
          </cell>
          <cell r="J515">
            <v>2334420</v>
          </cell>
          <cell r="K515">
            <v>0</v>
          </cell>
          <cell r="L515">
            <v>2334420</v>
          </cell>
          <cell r="M515">
            <v>1167210</v>
          </cell>
          <cell r="N515">
            <v>1167210</v>
          </cell>
        </row>
        <row r="516">
          <cell r="A516">
            <v>395</v>
          </cell>
          <cell r="B516">
            <v>871</v>
          </cell>
          <cell r="C516">
            <v>43139</v>
          </cell>
          <cell r="D516" t="str">
            <v>JOSE VICENTE RODRIGUEZ PARRA</v>
          </cell>
          <cell r="E516">
            <v>31</v>
          </cell>
          <cell r="F516" t="str">
            <v>RESOLUCION</v>
          </cell>
          <cell r="G516">
            <v>449</v>
          </cell>
          <cell r="H516">
            <v>43139</v>
          </cell>
          <cell r="I516" t="str">
            <v>AYUDA TEMPORAL A LAS FAMILIAS DE VARIAS LOCALIDADES, PARA RELOCALIZACIÓN DE HOGARES LOCALIZADOS EN ZONAS DE ALTO RIESGO NO MITIGABLE ID:2017-04-14932, LOCALIDAD:04 SAN CRISTÓBAL, UPZ:32 SAN BLAS, SECTOR:TRIANGULO ALTO</v>
          </cell>
          <cell r="J516">
            <v>2655780</v>
          </cell>
          <cell r="K516">
            <v>0</v>
          </cell>
          <cell r="L516">
            <v>2655780</v>
          </cell>
          <cell r="M516">
            <v>1327890</v>
          </cell>
          <cell r="N516">
            <v>1327890</v>
          </cell>
        </row>
        <row r="517">
          <cell r="A517">
            <v>395</v>
          </cell>
          <cell r="B517">
            <v>872</v>
          </cell>
          <cell r="C517">
            <v>43139</v>
          </cell>
          <cell r="D517" t="str">
            <v>BEATRIZ  MORALES RUIZ</v>
          </cell>
          <cell r="E517">
            <v>31</v>
          </cell>
          <cell r="F517" t="str">
            <v>RESOLUCION</v>
          </cell>
          <cell r="G517">
            <v>450</v>
          </cell>
          <cell r="H517">
            <v>43139</v>
          </cell>
          <cell r="I517" t="str">
            <v>AYUDA TEMPORAL A LAS FAMILIAS DE VARIAS LOCALIDADES, PARA RELOCALIZACIÓN DE HOGARES LOCALIZADOS EN ZONAS DE ALTO RIESGO NO MITIGABLE ID:2012-T314-13, LOCALIDAD:04 SAN CRISTÓBAL, UPZ:50 LA GLORIA</v>
          </cell>
          <cell r="J517">
            <v>2244132</v>
          </cell>
          <cell r="K517">
            <v>0</v>
          </cell>
          <cell r="L517">
            <v>2244132</v>
          </cell>
          <cell r="M517">
            <v>748044</v>
          </cell>
          <cell r="N517">
            <v>1496088</v>
          </cell>
        </row>
        <row r="518">
          <cell r="A518">
            <v>395</v>
          </cell>
          <cell r="B518">
            <v>873</v>
          </cell>
          <cell r="C518">
            <v>43139</v>
          </cell>
          <cell r="D518" t="str">
            <v>ELIANA PATRICIA MORENO ARDILA</v>
          </cell>
          <cell r="E518">
            <v>31</v>
          </cell>
          <cell r="F518" t="str">
            <v>RESOLUCION</v>
          </cell>
          <cell r="G518">
            <v>451</v>
          </cell>
          <cell r="H518">
            <v>43139</v>
          </cell>
          <cell r="I518" t="str">
            <v>AYUDA TEMPORAL A LAS FAMILIAS DE VARIAS LOCALIDADES, PARA RELOCALIZACIÓN DE HOGARES LOCALIZADOS EN ZONAS DE ALTO RIESGO NO MITIGABLE ID:2013-Q10-00650, LOCALIDAD:04 SAN CRISTÓBAL, UPZ:51 LOS LIBERTADORES, SECTOR:QUEBRADA VEREJONES</v>
          </cell>
          <cell r="J518">
            <v>2586000</v>
          </cell>
          <cell r="K518">
            <v>0</v>
          </cell>
          <cell r="L518">
            <v>2586000</v>
          </cell>
          <cell r="M518">
            <v>1293000</v>
          </cell>
          <cell r="N518">
            <v>1293000</v>
          </cell>
        </row>
        <row r="519">
          <cell r="A519">
            <v>395</v>
          </cell>
          <cell r="B519">
            <v>874</v>
          </cell>
          <cell r="C519">
            <v>43139</v>
          </cell>
          <cell r="D519" t="str">
            <v>LUIS HERNANDO VENTURA VIRGUEZ</v>
          </cell>
          <cell r="E519">
            <v>31</v>
          </cell>
          <cell r="F519" t="str">
            <v>RESOLUCION</v>
          </cell>
          <cell r="G519">
            <v>452</v>
          </cell>
          <cell r="H519">
            <v>43139</v>
          </cell>
          <cell r="I519" t="str">
            <v>AYUDA TEMPORAL A LAS FAMILIAS DE VARIAS LOCALIDADES, PARA RELOCALIZACIÓN DE HOGARES LOCALIZADOS EN ZONAS DE ALTO RIESGO NO MITIGABLE ID:2015-ALES-533, LOCALIDAD:19 CIUDAD BOLÍVAR, UPZ:69 ISMAEL PERDOMO, SECTOR:ALTOS DE LA ESTANCIA</v>
          </cell>
          <cell r="J519">
            <v>2706270</v>
          </cell>
          <cell r="K519">
            <v>0</v>
          </cell>
          <cell r="L519">
            <v>2706270</v>
          </cell>
          <cell r="M519">
            <v>1353135</v>
          </cell>
          <cell r="N519">
            <v>1353135</v>
          </cell>
        </row>
        <row r="520">
          <cell r="A520">
            <v>395</v>
          </cell>
          <cell r="B520">
            <v>875</v>
          </cell>
          <cell r="C520">
            <v>43139</v>
          </cell>
          <cell r="D520" t="str">
            <v>SOLEDAD  PINO PEREZ</v>
          </cell>
          <cell r="E520">
            <v>31</v>
          </cell>
          <cell r="F520" t="str">
            <v>RESOLUCION</v>
          </cell>
          <cell r="G520">
            <v>453</v>
          </cell>
          <cell r="H520">
            <v>43139</v>
          </cell>
          <cell r="I520" t="str">
            <v>AYUDA TEMPORAL A LAS FAMILIAS DE VARIAS LOCALIDADES, PARA RELOCALIZACIÓN DE HOGARES LOCALIZADOS EN ZONAS DE ALTO RIESGO NO MITIGABLE ID:2012-T314-15, LOCALIDAD:04 SAN CRISTÓBAL, UPZ:50 LA GLORIA</v>
          </cell>
          <cell r="J520">
            <v>2706492</v>
          </cell>
          <cell r="K520">
            <v>0</v>
          </cell>
          <cell r="L520">
            <v>2706492</v>
          </cell>
          <cell r="M520">
            <v>1353246</v>
          </cell>
          <cell r="N520">
            <v>1353246</v>
          </cell>
        </row>
        <row r="521">
          <cell r="A521">
            <v>395</v>
          </cell>
          <cell r="B521">
            <v>876</v>
          </cell>
          <cell r="C521">
            <v>43139</v>
          </cell>
          <cell r="D521" t="str">
            <v>MARTHA LILIANA PINO PEREZ</v>
          </cell>
          <cell r="E521">
            <v>31</v>
          </cell>
          <cell r="F521" t="str">
            <v>RESOLUCION</v>
          </cell>
          <cell r="G521">
            <v>454</v>
          </cell>
          <cell r="H521">
            <v>43139</v>
          </cell>
          <cell r="I521" t="str">
            <v>AYUDA TEMPORAL A LAS FAMILIAS DE VARIAS LOCALIDADES, PARA RELOCALIZACIÓN DE HOGARES LOCALIZADOS EN ZONAS DE ALTO RIESGO NO MITIGABLE ID:2012-T314-14, LOCALIDAD:04 SAN CRISTÓBAL, UPZ:50 LA GLORIA</v>
          </cell>
          <cell r="J521">
            <v>2474634</v>
          </cell>
          <cell r="K521">
            <v>0</v>
          </cell>
          <cell r="L521">
            <v>2474634</v>
          </cell>
          <cell r="M521">
            <v>1237317</v>
          </cell>
          <cell r="N521">
            <v>1237317</v>
          </cell>
        </row>
        <row r="522">
          <cell r="A522">
            <v>395</v>
          </cell>
          <cell r="B522">
            <v>877</v>
          </cell>
          <cell r="C522">
            <v>43139</v>
          </cell>
          <cell r="D522" t="str">
            <v>JACOBA  MORENO GUERRERO</v>
          </cell>
          <cell r="E522">
            <v>31</v>
          </cell>
          <cell r="F522" t="str">
            <v>RESOLUCION</v>
          </cell>
          <cell r="G522">
            <v>455</v>
          </cell>
          <cell r="H522">
            <v>43139</v>
          </cell>
          <cell r="I522" t="str">
            <v>AYUDA TEMPORAL A LAS FAMILIAS DE VARIAS LOCALIDADES, PARA RELOCALIZACIÓN DE HOGARES LOCALIZADOS EN ZONAS DE ALTO RIESGO NO MITIGABLE ID:2014-OTR-00893, LOCALIDAD:03 SANTA FE, UPZ:96 LOURDES, SECTOR:CASA 3</v>
          </cell>
          <cell r="J522">
            <v>2550450</v>
          </cell>
          <cell r="K522">
            <v>0</v>
          </cell>
          <cell r="L522">
            <v>2550450</v>
          </cell>
          <cell r="M522">
            <v>1275225</v>
          </cell>
          <cell r="N522">
            <v>1275225</v>
          </cell>
        </row>
        <row r="523">
          <cell r="A523">
            <v>395</v>
          </cell>
          <cell r="B523">
            <v>878</v>
          </cell>
          <cell r="C523">
            <v>43139</v>
          </cell>
          <cell r="D523" t="str">
            <v>MARLEN  BELTRAN CASTELLANOS</v>
          </cell>
          <cell r="E523">
            <v>31</v>
          </cell>
          <cell r="F523" t="str">
            <v>RESOLUCION</v>
          </cell>
          <cell r="G523">
            <v>456</v>
          </cell>
          <cell r="H523">
            <v>43139</v>
          </cell>
          <cell r="I523" t="str">
            <v>AYUDA TEMPORAL A LAS FAMILIAS DE VARIAS LOCALIDADES, PARA RELOCALIZACIÓN DE HOGARES LOCALIZADOS EN ZONAS DE ALTO RIESGO NO MITIGABLE ID:2011-4-12671, LOCALIDAD:04 SAN CRISTÓBAL, UPZ:32 SAN BLAS</v>
          </cell>
          <cell r="J523">
            <v>2590566</v>
          </cell>
          <cell r="K523">
            <v>0</v>
          </cell>
          <cell r="L523">
            <v>2590566</v>
          </cell>
          <cell r="M523">
            <v>1295283</v>
          </cell>
          <cell r="N523">
            <v>1295283</v>
          </cell>
        </row>
        <row r="524">
          <cell r="A524">
            <v>395</v>
          </cell>
          <cell r="B524">
            <v>879</v>
          </cell>
          <cell r="C524">
            <v>43139</v>
          </cell>
          <cell r="D524" t="str">
            <v>MARIA DEL PILAR PINO PEREZ</v>
          </cell>
          <cell r="E524">
            <v>31</v>
          </cell>
          <cell r="F524" t="str">
            <v>RESOLUCION</v>
          </cell>
          <cell r="G524">
            <v>457</v>
          </cell>
          <cell r="H524">
            <v>43139</v>
          </cell>
          <cell r="I524" t="str">
            <v>AYUDA TEMPORAL A LAS FAMILIAS DE VARIAS LOCALIDADES, PARA RELOCALIZACIÓN DE HOGARES LOCALIZADOS EN ZONAS DE ALTO RIESGO NO MITIGABLE ID:2012-T314-06, LOCALIDAD:04 SAN CRISTÓBAL, UPZ:50 LA GLORIA</v>
          </cell>
          <cell r="J524">
            <v>2590566</v>
          </cell>
          <cell r="K524">
            <v>0</v>
          </cell>
          <cell r="L524">
            <v>2590566</v>
          </cell>
          <cell r="M524">
            <v>1295283</v>
          </cell>
          <cell r="N524">
            <v>1295283</v>
          </cell>
        </row>
        <row r="525">
          <cell r="A525">
            <v>395</v>
          </cell>
          <cell r="B525">
            <v>880</v>
          </cell>
          <cell r="C525">
            <v>43139</v>
          </cell>
          <cell r="D525" t="str">
            <v>ROSARIO  PINO PEREZ</v>
          </cell>
          <cell r="E525">
            <v>31</v>
          </cell>
          <cell r="F525" t="str">
            <v>RESOLUCION</v>
          </cell>
          <cell r="G525">
            <v>458</v>
          </cell>
          <cell r="H525">
            <v>43139</v>
          </cell>
          <cell r="I525" t="str">
            <v>AYUDA TEMPORAL A LAS FAMILIAS DE VARIAS LOCALIDADES, PARA RELOCALIZACIÓN DE HOGARES LOCALIZADOS EN ZONAS DE ALTO RIESGO NO MITIGABLE ID:2012-T314-03, LOCALIDAD:04 SAN CRISTÓBAL, UPZ:50 LA GLORIA</v>
          </cell>
          <cell r="J525">
            <v>2213148</v>
          </cell>
          <cell r="K525">
            <v>0</v>
          </cell>
          <cell r="L525">
            <v>2213148</v>
          </cell>
          <cell r="M525">
            <v>1106574</v>
          </cell>
          <cell r="N525">
            <v>1106574</v>
          </cell>
        </row>
        <row r="526">
          <cell r="A526">
            <v>395</v>
          </cell>
          <cell r="B526">
            <v>881</v>
          </cell>
          <cell r="C526">
            <v>43139</v>
          </cell>
          <cell r="D526" t="str">
            <v>AHIDA MARIBEL MARROQUIN GUEVARA</v>
          </cell>
          <cell r="E526">
            <v>31</v>
          </cell>
          <cell r="F526" t="str">
            <v>RESOLUCION</v>
          </cell>
          <cell r="G526">
            <v>401</v>
          </cell>
          <cell r="H526">
            <v>43139</v>
          </cell>
          <cell r="I526" t="str">
            <v>AYUDA TEMPORAL A LAS FAMILIAS DE VARIAS LOCALIDADES, PARA RELOCALIZACIÓN DE HOGARES LOCALIZADOS EN ZONAS DE ALTO RIESGO NO MITIGABLE ID:2014-Q03-01085, LOCALIDAD:19 CIUDAD BOLÍVAR, UPZ:66 SAN FRANCISCO, SECTOR:LIMAS</v>
          </cell>
          <cell r="J526">
            <v>2887073</v>
          </cell>
          <cell r="K526">
            <v>0</v>
          </cell>
          <cell r="L526">
            <v>2887073</v>
          </cell>
          <cell r="M526">
            <v>1649756</v>
          </cell>
          <cell r="N526">
            <v>1237317</v>
          </cell>
        </row>
        <row r="527">
          <cell r="A527">
            <v>395</v>
          </cell>
          <cell r="B527">
            <v>882</v>
          </cell>
          <cell r="C527">
            <v>43139</v>
          </cell>
          <cell r="D527" t="str">
            <v>MARIA DOLORES AREVALO</v>
          </cell>
          <cell r="E527">
            <v>31</v>
          </cell>
          <cell r="F527" t="str">
            <v>RESOLUCION</v>
          </cell>
          <cell r="G527">
            <v>402</v>
          </cell>
          <cell r="H527">
            <v>43139</v>
          </cell>
          <cell r="I527" t="str">
            <v>AYUDA TEMPORAL A LAS FAMILIAS DE VARIAS LOCALIDADES, PARA RELOCALIZACIÓN DE HOGARES LOCALIZADOS EN ZONAS DE ALTO RIESGO NO MITIGABLE ID:2010-4-12312, LOCALIDAD:04 SAN CRISTÓBAL, UPZ:32 SAN BLAS, SECTOR:OLA INVERNAL 2010 FOPAE</v>
          </cell>
          <cell r="J527">
            <v>5430984</v>
          </cell>
          <cell r="K527">
            <v>0</v>
          </cell>
          <cell r="L527">
            <v>5430984</v>
          </cell>
          <cell r="M527">
            <v>1671072</v>
          </cell>
          <cell r="N527">
            <v>3759912</v>
          </cell>
        </row>
        <row r="528">
          <cell r="A528">
            <v>395</v>
          </cell>
          <cell r="B528">
            <v>883</v>
          </cell>
          <cell r="C528">
            <v>43139</v>
          </cell>
          <cell r="D528" t="str">
            <v>MARLENY  GARCIA VILLEGAS</v>
          </cell>
          <cell r="E528">
            <v>31</v>
          </cell>
          <cell r="F528" t="str">
            <v>RESOLUCION</v>
          </cell>
          <cell r="G528">
            <v>403</v>
          </cell>
          <cell r="H528">
            <v>43139</v>
          </cell>
          <cell r="I528" t="str">
            <v>AYUDA TEMPORAL A LAS FAMILIAS DE VARIAS LOCALIDADES, PARA RELOCALIZACIÓN DE HOGARES LOCALIZADOS EN ZONAS DE ALTO RIESGO NO MITIGABLE ID:2012-ALES-396, LOCALIDAD:19 CIUDAD BOLÍVAR, UPZ:69 ISMAEL PERDOMO, SECTOR:ALTOS DE LA ESTANCIA</v>
          </cell>
          <cell r="J528">
            <v>3157000</v>
          </cell>
          <cell r="K528">
            <v>0</v>
          </cell>
          <cell r="L528">
            <v>3157000</v>
          </cell>
          <cell r="M528">
            <v>1804000</v>
          </cell>
          <cell r="N528">
            <v>1353000</v>
          </cell>
        </row>
        <row r="529">
          <cell r="A529">
            <v>395</v>
          </cell>
          <cell r="B529">
            <v>884</v>
          </cell>
          <cell r="C529">
            <v>43139</v>
          </cell>
          <cell r="D529" t="str">
            <v>MARIA ELVIA CHIVATA IBAGUE</v>
          </cell>
          <cell r="E529">
            <v>31</v>
          </cell>
          <cell r="F529" t="str">
            <v>RESOLUCION</v>
          </cell>
          <cell r="G529">
            <v>404</v>
          </cell>
          <cell r="H529">
            <v>43139</v>
          </cell>
          <cell r="I529" t="str">
            <v>AYUDA TEMPORAL A LAS FAMILIAS DE VARIAS LOCALIDADES, PARA RELOCALIZACIÓN DE HOGARES LOCALIZADOS EN ZONAS DE ALTO RIESGO NO MITIGABLE ID:2014-OTR-01048, LOCALIDAD:19 CIUDAD BOLÍVAR, UPZ:67 LUCERO, SECTOR:TABOR ALTALOMA</v>
          </cell>
          <cell r="J529">
            <v>3157315</v>
          </cell>
          <cell r="K529">
            <v>0</v>
          </cell>
          <cell r="L529">
            <v>3157315</v>
          </cell>
          <cell r="M529">
            <v>1804180</v>
          </cell>
          <cell r="N529">
            <v>1353135</v>
          </cell>
        </row>
        <row r="530">
          <cell r="A530">
            <v>395</v>
          </cell>
          <cell r="B530">
            <v>885</v>
          </cell>
          <cell r="C530">
            <v>43139</v>
          </cell>
          <cell r="D530" t="str">
            <v>DENIS ALEXANDER BAÑOL ARIAS</v>
          </cell>
          <cell r="E530">
            <v>31</v>
          </cell>
          <cell r="F530" t="str">
            <v>RESOLUCION</v>
          </cell>
          <cell r="G530">
            <v>405</v>
          </cell>
          <cell r="H530">
            <v>43139</v>
          </cell>
          <cell r="I530" t="str">
            <v>AYUDA TEMPORAL A LAS FAMILIAS DE VARIAS LOCALIDADES, PARA RELOCALIZACIÓN DE HOGARES LOCALIZADOS EN ZONAS DE ALTO RIESGO NO MITIGABLE ID:2016-08-14838, LOCALIDAD:08 KENNEDY, UPZ:82 PATIO BONITO, SECTOR:PALMITAS</v>
          </cell>
          <cell r="J530">
            <v>4795154</v>
          </cell>
          <cell r="K530">
            <v>0</v>
          </cell>
          <cell r="L530">
            <v>4795154</v>
          </cell>
          <cell r="M530">
            <v>1475432</v>
          </cell>
          <cell r="N530">
            <v>3319722</v>
          </cell>
        </row>
        <row r="531">
          <cell r="A531">
            <v>395</v>
          </cell>
          <cell r="B531">
            <v>886</v>
          </cell>
          <cell r="C531">
            <v>43139</v>
          </cell>
          <cell r="D531" t="str">
            <v>MARIA GRACIELA ALONSO PIÑEROS</v>
          </cell>
          <cell r="E531">
            <v>31</v>
          </cell>
          <cell r="F531" t="str">
            <v>RESOLUCION</v>
          </cell>
          <cell r="G531">
            <v>406</v>
          </cell>
          <cell r="H531">
            <v>43139</v>
          </cell>
          <cell r="I531" t="str">
            <v>AYUDA TEMPORAL A LAS FAMILIAS DE VARIAS LOCALIDADES, PARA RELOCALIZACIÓN DE HOGARES LOCALIZADOS EN ZONAS DE ALTO RIESGO NO MITIGABLE ID:2013-Q04-00413, LOCALIDAD:19 CIUDAD BOLÍVAR, UPZ:67 LUCERO, SECTOR:PEÑA COLORADA</v>
          </cell>
          <cell r="J531">
            <v>6005142</v>
          </cell>
          <cell r="K531">
            <v>0</v>
          </cell>
          <cell r="L531">
            <v>6005142</v>
          </cell>
          <cell r="M531">
            <v>1847736</v>
          </cell>
          <cell r="N531">
            <v>4157406</v>
          </cell>
        </row>
        <row r="532">
          <cell r="A532">
            <v>395</v>
          </cell>
          <cell r="B532">
            <v>887</v>
          </cell>
          <cell r="C532">
            <v>43139</v>
          </cell>
          <cell r="D532" t="str">
            <v>MARIA EMILIA CELY SANCHEZ</v>
          </cell>
          <cell r="E532">
            <v>31</v>
          </cell>
          <cell r="F532" t="str">
            <v>RESOLUCION</v>
          </cell>
          <cell r="G532">
            <v>407</v>
          </cell>
          <cell r="H532">
            <v>43139</v>
          </cell>
          <cell r="I532" t="str">
            <v>AYUDA TEMPORAL A LAS FAMILIAS DE VARIAS LOCALIDADES, PARA RELOCALIZACIÓN DE HOGARES LOCALIZADOS EN ZONAS DE ALTO RIESGO NO MITIGABLE ID:2011-4-12634, LOCALIDAD:04 SAN CRISTÓBAL, UPZ:32 SAN BLAS</v>
          </cell>
          <cell r="J532">
            <v>2397348</v>
          </cell>
          <cell r="K532">
            <v>0</v>
          </cell>
          <cell r="L532">
            <v>2397348</v>
          </cell>
          <cell r="M532">
            <v>1198674</v>
          </cell>
          <cell r="N532">
            <v>1198674</v>
          </cell>
        </row>
        <row r="533">
          <cell r="A533">
            <v>395</v>
          </cell>
          <cell r="B533">
            <v>888</v>
          </cell>
          <cell r="C533">
            <v>43139</v>
          </cell>
          <cell r="D533" t="str">
            <v>GLORIA INES BEDOYA CORREA</v>
          </cell>
          <cell r="E533">
            <v>31</v>
          </cell>
          <cell r="F533" t="str">
            <v>RESOLUCION</v>
          </cell>
          <cell r="G533">
            <v>408</v>
          </cell>
          <cell r="H533">
            <v>43139</v>
          </cell>
          <cell r="I533" t="str">
            <v>AYUDA TEMPORAL A LAS FAMILIAS DE VARIAS LOCALIDADES, PARA RELOCALIZACIÓN DE HOGARES LOCALIZADOS EN ZONAS DE ALTO RIESGO NO MITIGABLE ID:2016-08-14798, LOCALIDAD:08 KENNEDY, UPZ:82 PATIO BONITO, SECTOR:PALMITAS</v>
          </cell>
          <cell r="J533">
            <v>7617116</v>
          </cell>
          <cell r="K533">
            <v>0</v>
          </cell>
          <cell r="L533">
            <v>7617116</v>
          </cell>
          <cell r="M533">
            <v>2343728</v>
          </cell>
          <cell r="N533">
            <v>5273388</v>
          </cell>
        </row>
        <row r="534">
          <cell r="A534">
            <v>395</v>
          </cell>
          <cell r="B534">
            <v>889</v>
          </cell>
          <cell r="C534">
            <v>43139</v>
          </cell>
          <cell r="D534" t="str">
            <v>NANCY BRIYITH TORRES ALFONSO</v>
          </cell>
          <cell r="E534">
            <v>31</v>
          </cell>
          <cell r="F534" t="str">
            <v>RESOLUCION</v>
          </cell>
          <cell r="G534">
            <v>409</v>
          </cell>
          <cell r="H534">
            <v>43139</v>
          </cell>
          <cell r="I534" t="str">
            <v>AYUDA TEMPORAL A LAS FAMILIAS DE VARIAS LOCALIDADES, PARA RELOCALIZACIÓN DE HOGARES LOCALIZADOS EN ZONAS DE ALTO RIESGO NO MITIGABLE ID:2007-18-9400, LOCALIDAD:18 RAFAEL URIBE URIBE, UPZ:55 DIANA TURBAY</v>
          </cell>
          <cell r="J534">
            <v>3563588</v>
          </cell>
          <cell r="K534">
            <v>0</v>
          </cell>
          <cell r="L534">
            <v>3563588</v>
          </cell>
          <cell r="M534">
            <v>2036336</v>
          </cell>
          <cell r="N534">
            <v>1527252</v>
          </cell>
        </row>
        <row r="535">
          <cell r="A535">
            <v>395</v>
          </cell>
          <cell r="B535">
            <v>890</v>
          </cell>
          <cell r="C535">
            <v>43139</v>
          </cell>
          <cell r="D535" t="str">
            <v>MARTHA LUCIA AREVALO SALINAS</v>
          </cell>
          <cell r="E535">
            <v>31</v>
          </cell>
          <cell r="F535" t="str">
            <v>RESOLUCION</v>
          </cell>
          <cell r="G535">
            <v>410</v>
          </cell>
          <cell r="H535">
            <v>43139</v>
          </cell>
          <cell r="I535" t="str">
            <v>AYUDA TEMPORAL A LAS FAMILIAS DE VARIAS LOCALIDADES, PARA RELOCALIZACIÓN DE HOGARES LOCALIZADOS EN ZONAS DE ALTO RIESGO NO MITIGABLE ID:2012-4-14199, LOCALIDAD:04 SAN CRISTÓBAL, UPZ:32 SAN BLAS</v>
          </cell>
          <cell r="J535">
            <v>2618154</v>
          </cell>
          <cell r="K535">
            <v>0</v>
          </cell>
          <cell r="L535">
            <v>2618154</v>
          </cell>
          <cell r="M535">
            <v>1496088</v>
          </cell>
          <cell r="N535">
            <v>1122066</v>
          </cell>
        </row>
        <row r="536">
          <cell r="A536">
            <v>395</v>
          </cell>
          <cell r="B536">
            <v>891</v>
          </cell>
          <cell r="C536">
            <v>43139</v>
          </cell>
          <cell r="D536" t="str">
            <v>GLORIA LISBRTH OCAMPO ESPINOSA</v>
          </cell>
          <cell r="E536">
            <v>31</v>
          </cell>
          <cell r="F536" t="str">
            <v>RESOLUCION</v>
          </cell>
          <cell r="G536">
            <v>411</v>
          </cell>
          <cell r="H536">
            <v>43139</v>
          </cell>
          <cell r="I536" t="str">
            <v>AYUDA TEMPORAL A LAS FAMILIAS DE VARIAS LOCALIDADES, PARA RELOCALIZACIÓN DE HOGARES LOCALIZADOS EN ZONAS DE ALTO RIESGO NO MITIGABLE ID:2014-Q01-01032, LOCALIDAD:05 USME, UPZ:56 DANUBIO, SECTOR:HOYA DEL RAMO</v>
          </cell>
          <cell r="J536">
            <v>3356612</v>
          </cell>
          <cell r="K536">
            <v>0</v>
          </cell>
          <cell r="L536">
            <v>3356612</v>
          </cell>
          <cell r="M536">
            <v>1918064</v>
          </cell>
          <cell r="N536">
            <v>1438548</v>
          </cell>
        </row>
        <row r="537">
          <cell r="A537">
            <v>395</v>
          </cell>
          <cell r="B537">
            <v>892</v>
          </cell>
          <cell r="C537">
            <v>43139</v>
          </cell>
          <cell r="D537" t="str">
            <v>DORIS  DIAZ CASTILLO</v>
          </cell>
          <cell r="E537">
            <v>31</v>
          </cell>
          <cell r="F537" t="str">
            <v>RESOLUCION</v>
          </cell>
          <cell r="G537">
            <v>412</v>
          </cell>
          <cell r="H537">
            <v>43139</v>
          </cell>
          <cell r="I537" t="str">
            <v>AYUDA TEMPORAL A LAS FAMILIAS DE VARIAS LOCALIDADES, PARA RELOCALIZACIÓN DE HOGARES LOCALIZADOS EN ZONAS DE ALTO RIESGO NO MITIGABLE ID:2011-4-12721, LOCALIDAD:04 SAN CRISTÓBAL, UPZ:32 SAN BLAS</v>
          </cell>
          <cell r="J537">
            <v>2530367</v>
          </cell>
          <cell r="K537">
            <v>0</v>
          </cell>
          <cell r="L537">
            <v>2530367</v>
          </cell>
          <cell r="M537">
            <v>1445924</v>
          </cell>
          <cell r="N537">
            <v>1084443</v>
          </cell>
        </row>
        <row r="538">
          <cell r="A538">
            <v>395</v>
          </cell>
          <cell r="B538">
            <v>893</v>
          </cell>
          <cell r="C538">
            <v>43139</v>
          </cell>
          <cell r="D538" t="str">
            <v>JOSE ALBEIRO CASTAÑO RIVERA</v>
          </cell>
          <cell r="E538">
            <v>31</v>
          </cell>
          <cell r="F538" t="str">
            <v>RESOLUCION</v>
          </cell>
          <cell r="G538">
            <v>413</v>
          </cell>
          <cell r="H538">
            <v>43139</v>
          </cell>
          <cell r="I538" t="str">
            <v>AYUDA TEMPORAL A LAS FAMILIAS DE VARIAS LOCALIDADES, PARA RELOCALIZACIÓN DE HOGARES LOCALIZADOS EN ZONAS DE ALTO RIESGO NO MITIGABLE ID:2011-5-13024, LOCALIDAD:05 USME, UPZ:56 DANUBIO</v>
          </cell>
          <cell r="J538">
            <v>2849392</v>
          </cell>
          <cell r="K538">
            <v>0</v>
          </cell>
          <cell r="L538">
            <v>2849392</v>
          </cell>
          <cell r="M538">
            <v>1628224</v>
          </cell>
          <cell r="N538">
            <v>1221168</v>
          </cell>
        </row>
        <row r="539">
          <cell r="A539">
            <v>395</v>
          </cell>
          <cell r="B539">
            <v>894</v>
          </cell>
          <cell r="C539">
            <v>43139</v>
          </cell>
          <cell r="D539" t="str">
            <v>MARIA CARMEN ROSA PAEZ</v>
          </cell>
          <cell r="E539">
            <v>31</v>
          </cell>
          <cell r="F539" t="str">
            <v>RESOLUCION</v>
          </cell>
          <cell r="G539">
            <v>414</v>
          </cell>
          <cell r="H539">
            <v>43139</v>
          </cell>
          <cell r="I539" t="str">
            <v>AYUDA TEMPORAL A LAS FAMILIAS DE VARIAS LOCALIDADES, PARA RELOCALIZACIÓN DE HOGARES LOCALIZADOS EN ZONAS DE ALTO RIESGO NO MITIGABLE ID:2013-Q10-00247, LOCALIDAD:04 SAN CRISTÓBAL, UPZ:51 LOS LIBERTADORES, SECTOR:QUEBRADA VEREJONES</v>
          </cell>
          <cell r="J539">
            <v>3788778</v>
          </cell>
          <cell r="K539">
            <v>0</v>
          </cell>
          <cell r="L539">
            <v>3788778</v>
          </cell>
          <cell r="M539">
            <v>2165016</v>
          </cell>
          <cell r="N539">
            <v>1623762</v>
          </cell>
        </row>
        <row r="540">
          <cell r="A540">
            <v>395</v>
          </cell>
          <cell r="B540">
            <v>895</v>
          </cell>
          <cell r="C540">
            <v>43139</v>
          </cell>
          <cell r="D540" t="str">
            <v>MABIL  BOBADILLA</v>
          </cell>
          <cell r="E540">
            <v>31</v>
          </cell>
          <cell r="F540" t="str">
            <v>RESOLUCION</v>
          </cell>
          <cell r="G540">
            <v>415</v>
          </cell>
          <cell r="H540">
            <v>43139</v>
          </cell>
          <cell r="I540" t="str">
            <v>AYUDA TEMPORAL A LAS FAMILIAS DE VARIAS LOCALIDADES, PARA RELOCALIZACIÓN DE HOGARES LOCALIZADOS EN ZONAS DE ALTO RIESGO NO MITIGABLE ID:2014-OTR-00873, LOCALIDAD:03 SANTA FE, UPZ:96 LOURDES, SECTOR:CASA 1</v>
          </cell>
          <cell r="J540">
            <v>3015588</v>
          </cell>
          <cell r="K540">
            <v>0</v>
          </cell>
          <cell r="L540">
            <v>3015588</v>
          </cell>
          <cell r="M540">
            <v>1507794</v>
          </cell>
          <cell r="N540">
            <v>1507794</v>
          </cell>
        </row>
        <row r="541">
          <cell r="A541">
            <v>395</v>
          </cell>
          <cell r="B541">
            <v>896</v>
          </cell>
          <cell r="C541">
            <v>43139</v>
          </cell>
          <cell r="D541" t="str">
            <v>LUIS CUSTODIO MARQUEZ SUEROKE</v>
          </cell>
          <cell r="E541">
            <v>31</v>
          </cell>
          <cell r="F541" t="str">
            <v>RESOLUCION</v>
          </cell>
          <cell r="G541">
            <v>416</v>
          </cell>
          <cell r="H541">
            <v>43139</v>
          </cell>
          <cell r="I541" t="str">
            <v>AYUDA TEMPORAL A LAS FAMILIAS DE VARIAS LOCALIDADES, PARA RELOCALIZACIÓN DE HOGARES LOCALIZADOS EN ZONAS DE ALTO RIESGO NO MITIGABLE ID:2015-W166-507, LOCALIDAD:03 SANTA FE, UPZ:92 LA MACARENA, SECTOR:UITOTO</v>
          </cell>
          <cell r="J541">
            <v>6868797</v>
          </cell>
          <cell r="K541">
            <v>0</v>
          </cell>
          <cell r="L541">
            <v>6868797</v>
          </cell>
          <cell r="M541">
            <v>2113476</v>
          </cell>
          <cell r="N541">
            <v>4755321</v>
          </cell>
        </row>
        <row r="542">
          <cell r="A542">
            <v>395</v>
          </cell>
          <cell r="B542">
            <v>897</v>
          </cell>
          <cell r="C542">
            <v>43139</v>
          </cell>
          <cell r="D542" t="str">
            <v>HENRY STEVEN AGUILERA BENITEZ</v>
          </cell>
          <cell r="E542">
            <v>31</v>
          </cell>
          <cell r="F542" t="str">
            <v>RESOLUCION</v>
          </cell>
          <cell r="G542">
            <v>417</v>
          </cell>
          <cell r="H542">
            <v>43139</v>
          </cell>
          <cell r="I542" t="str">
            <v>AYUDA TEMPORAL A LAS FAMILIAS DE VARIAS LOCALIDADES, PARA RELOCALIZACIÓN DE HOGARES LOCALIZADOS EN ZONAS DE ALTO RIESGO NO MITIGABLE ID:2015-Q03-01474, LOCALIDAD:19 CIUDAD BOLÍVAR, UPZ:66 SAN FRANCISCO, SECTOR:LIMAS</v>
          </cell>
          <cell r="J542">
            <v>2213148</v>
          </cell>
          <cell r="K542">
            <v>0</v>
          </cell>
          <cell r="L542">
            <v>2213148</v>
          </cell>
          <cell r="M542">
            <v>1106574</v>
          </cell>
          <cell r="N542">
            <v>1106574</v>
          </cell>
        </row>
        <row r="543">
          <cell r="A543">
            <v>395</v>
          </cell>
          <cell r="B543">
            <v>898</v>
          </cell>
          <cell r="C543">
            <v>43139</v>
          </cell>
          <cell r="D543" t="str">
            <v>EFRAIN  TORRES</v>
          </cell>
          <cell r="E543">
            <v>31</v>
          </cell>
          <cell r="F543" t="str">
            <v>RESOLUCION</v>
          </cell>
          <cell r="G543">
            <v>418</v>
          </cell>
          <cell r="H543">
            <v>43139</v>
          </cell>
          <cell r="I543" t="str">
            <v>AYUDA TEMPORAL A LAS FAMILIAS DE VARIAS LOCALIDADES, PARA RELOCALIZACIÓN DE HOGARES LOCALIZADOS EN ZONAS DE ALTO RIESGO NO MITIGABLE ID:2012-19-14090, LOCALIDAD:19 CIUDAD BOLÍVAR, UPZ:68 EL TESORO, SECTOR:QUEBRADA TROMPETA</v>
          </cell>
          <cell r="J543">
            <v>2435382</v>
          </cell>
          <cell r="K543">
            <v>0</v>
          </cell>
          <cell r="L543">
            <v>2435382</v>
          </cell>
          <cell r="M543">
            <v>1217691</v>
          </cell>
          <cell r="N543">
            <v>1217691</v>
          </cell>
        </row>
        <row r="544">
          <cell r="A544">
            <v>395</v>
          </cell>
          <cell r="B544">
            <v>899</v>
          </cell>
          <cell r="C544">
            <v>43139</v>
          </cell>
          <cell r="D544" t="str">
            <v>DIANA MARIA LOPEZ GOMEZ</v>
          </cell>
          <cell r="E544">
            <v>31</v>
          </cell>
          <cell r="F544" t="str">
            <v>RESOLUCION</v>
          </cell>
          <cell r="G544">
            <v>419</v>
          </cell>
          <cell r="H544">
            <v>43139</v>
          </cell>
          <cell r="I544" t="str">
            <v>AYUDA TEMPORAL A LAS FAMILIAS DE VARIAS LOCALIDADES, PARA RELOCALIZACIÓN DE HOGARES LOCALIZADOS EN ZONAS DE ALTO RIESGO NO MITIGABLE ID:2015-D227-00006, LOCALIDAD:04 SAN CRISTÓBAL, UPZ:51 LOS LIBERTADORES, SECTOR:SANTA TERESITA</v>
          </cell>
          <cell r="J544">
            <v>7538609</v>
          </cell>
          <cell r="K544">
            <v>0</v>
          </cell>
          <cell r="L544">
            <v>7538609</v>
          </cell>
          <cell r="M544">
            <v>2319572</v>
          </cell>
          <cell r="N544">
            <v>5219037</v>
          </cell>
        </row>
        <row r="545">
          <cell r="A545">
            <v>395</v>
          </cell>
          <cell r="B545">
            <v>900</v>
          </cell>
          <cell r="C545">
            <v>43139</v>
          </cell>
          <cell r="D545" t="str">
            <v>YUDY ZULEYDI TORRES MUÑOZ</v>
          </cell>
          <cell r="E545">
            <v>31</v>
          </cell>
          <cell r="F545" t="str">
            <v>RESOLUCION</v>
          </cell>
          <cell r="G545">
            <v>420</v>
          </cell>
          <cell r="H545">
            <v>43139</v>
          </cell>
          <cell r="I545" t="str">
            <v>AYUDA TEMPORAL A LAS FAMILIAS DE VARIAS LOCALIDADES, PARA RELOCALIZACIÓN DE HOGARES LOCALIZADOS EN ZONAS DE ALTO RIESGO NO MITIGABLE ID:2015-OTR-01373, LOCALIDAD:11 SUBA, UPZ:71 TIBABUYES, SECTOR:GAVILANES</v>
          </cell>
          <cell r="J545">
            <v>4027933</v>
          </cell>
          <cell r="K545">
            <v>0</v>
          </cell>
          <cell r="L545">
            <v>4027933</v>
          </cell>
          <cell r="M545">
            <v>2301676</v>
          </cell>
          <cell r="N545">
            <v>1726257</v>
          </cell>
        </row>
        <row r="546">
          <cell r="A546">
            <v>395</v>
          </cell>
          <cell r="B546">
            <v>901</v>
          </cell>
          <cell r="C546">
            <v>43139</v>
          </cell>
          <cell r="D546" t="str">
            <v>CLAUDIA CASTRO PENAGOS</v>
          </cell>
          <cell r="E546">
            <v>31</v>
          </cell>
          <cell r="F546" t="str">
            <v>RESOLUCION</v>
          </cell>
          <cell r="G546">
            <v>421</v>
          </cell>
          <cell r="H546">
            <v>43139</v>
          </cell>
          <cell r="I546" t="str">
            <v>AYUDA TEMPORAL A LAS FAMILIAS DE VARIAS LOCALIDADES, PARA RELOCALIZACIÓN DE HOGARES LOCALIZADOS EN ZONAS DE ALTO RIESGO NO MITIGABLE ID:1999-18-2316, LOCALIDAD:18 RAFAEL URIBE URIBE, UPZ:53 MARCO FIDEL SUÁREZ</v>
          </cell>
          <cell r="J546">
            <v>7455071</v>
          </cell>
          <cell r="K546">
            <v>0</v>
          </cell>
          <cell r="L546">
            <v>7455071</v>
          </cell>
          <cell r="M546">
            <v>2293868</v>
          </cell>
          <cell r="N546">
            <v>5161203</v>
          </cell>
        </row>
        <row r="547">
          <cell r="A547">
            <v>395</v>
          </cell>
          <cell r="B547">
            <v>902</v>
          </cell>
          <cell r="C547">
            <v>43139</v>
          </cell>
          <cell r="D547" t="str">
            <v>KIRFAFA  CARPIO MEMBACHE</v>
          </cell>
          <cell r="E547">
            <v>31</v>
          </cell>
          <cell r="F547" t="str">
            <v>RESOLUCION</v>
          </cell>
          <cell r="G547">
            <v>422</v>
          </cell>
          <cell r="H547">
            <v>43139</v>
          </cell>
          <cell r="I547" t="str">
            <v>AYUDA TEMPORAL A LAS FAMILIAS DE VARIAS LOCALIDADES, PARA RELOCALIZACIÓN DE HOGARES LOCALIZADOS EN ZONAS DE ALTO RIESGO NO MITIGABLE ID:2014-W166-075, LOCALIDAD:19 CIUDAD BOLÍVAR, UPZ:68 EL TESORO, SECTOR:WOUNAAN</v>
          </cell>
          <cell r="J547">
            <v>5285280</v>
          </cell>
          <cell r="K547">
            <v>0</v>
          </cell>
          <cell r="L547">
            <v>5285280</v>
          </cell>
          <cell r="M547">
            <v>1626240</v>
          </cell>
          <cell r="N547">
            <v>3659040</v>
          </cell>
        </row>
        <row r="548">
          <cell r="A548">
            <v>395</v>
          </cell>
          <cell r="B548">
            <v>903</v>
          </cell>
          <cell r="C548">
            <v>43139</v>
          </cell>
          <cell r="D548" t="str">
            <v>GERTRUDIS  MORALES TOMBE</v>
          </cell>
          <cell r="E548">
            <v>31</v>
          </cell>
          <cell r="F548" t="str">
            <v>RESOLUCION</v>
          </cell>
          <cell r="G548">
            <v>423</v>
          </cell>
          <cell r="H548">
            <v>43139</v>
          </cell>
          <cell r="I548" t="str">
            <v>AYUDA TEMPORAL A LAS FAMILIAS DE VARIAS LOCALIDADES, PARA RELOCALIZACIÓN DE HOGARES LOCALIZADOS EN ZONAS DE ALTO RIESGO NO MITIGABLE ID:2013-Q09-00429, LOCALIDAD:19 CIUDAD BOLÍVAR, UPZ:67 LUCERO, SECTOR:QUEBRADA TROMPETA</v>
          </cell>
          <cell r="J548">
            <v>3459890</v>
          </cell>
          <cell r="K548">
            <v>0</v>
          </cell>
          <cell r="L548">
            <v>3459890</v>
          </cell>
          <cell r="M548">
            <v>1977080</v>
          </cell>
          <cell r="N548">
            <v>1482810</v>
          </cell>
        </row>
        <row r="549">
          <cell r="A549">
            <v>395</v>
          </cell>
          <cell r="B549">
            <v>904</v>
          </cell>
          <cell r="C549">
            <v>43139</v>
          </cell>
          <cell r="D549" t="str">
            <v>SANDRA SUGEY BELTRAN</v>
          </cell>
          <cell r="E549">
            <v>31</v>
          </cell>
          <cell r="F549" t="str">
            <v>RESOLUCION</v>
          </cell>
          <cell r="G549">
            <v>424</v>
          </cell>
          <cell r="H549">
            <v>43139</v>
          </cell>
          <cell r="I549" t="str">
            <v>AYUDA TEMPORAL A LAS FAMILIAS DE VARIAS LOCALIDADES, PARA RELOCALIZACIÓN DE HOGARES LOCALIZADOS EN ZONAS DE ALTO RIESGO NO MITIGABLE ID:2011-4-12653, LOCALIDAD:04 SAN CRISTÓBAL, UPZ:32 SAN BLAS</v>
          </cell>
          <cell r="J549">
            <v>3112753</v>
          </cell>
          <cell r="K549">
            <v>0</v>
          </cell>
          <cell r="L549">
            <v>3112753</v>
          </cell>
          <cell r="M549">
            <v>1778716</v>
          </cell>
          <cell r="N549">
            <v>1334037</v>
          </cell>
        </row>
        <row r="550">
          <cell r="A550">
            <v>395</v>
          </cell>
          <cell r="B550">
            <v>905</v>
          </cell>
          <cell r="C550">
            <v>43139</v>
          </cell>
          <cell r="D550" t="str">
            <v>ANA ISABEL TORRES LOPEZ</v>
          </cell>
          <cell r="E550">
            <v>31</v>
          </cell>
          <cell r="F550" t="str">
            <v>RESOLUCION</v>
          </cell>
          <cell r="G550">
            <v>522</v>
          </cell>
          <cell r="H550">
            <v>43139</v>
          </cell>
          <cell r="I550" t="str">
            <v>AYUDA TEMPORAL A LAS FAMILIAS DE VARIAS LOCALIDADES, PARA RELOCALIZACIÓN DE HOGARES LOCALIZADOS EN ZONAS DE ALTO RIESGO NO MITIGABLE ID:2013-Q10-00501, LOCALIDAD:04 SAN CRISTÓBAL, UPZ:51 LOS LIBERTADORES, SECTOR:QUEBRADA VEREJONES</v>
          </cell>
          <cell r="J550">
            <v>5466487</v>
          </cell>
          <cell r="K550">
            <v>0</v>
          </cell>
          <cell r="L550">
            <v>5466487</v>
          </cell>
          <cell r="M550">
            <v>1261497</v>
          </cell>
          <cell r="N550">
            <v>4204990</v>
          </cell>
        </row>
        <row r="551">
          <cell r="A551">
            <v>395</v>
          </cell>
          <cell r="B551">
            <v>907</v>
          </cell>
          <cell r="C551">
            <v>43139</v>
          </cell>
          <cell r="D551" t="str">
            <v>JOSE MILLER NARANJO MANJARRES</v>
          </cell>
          <cell r="E551">
            <v>31</v>
          </cell>
          <cell r="F551" t="str">
            <v>RESOLUCION</v>
          </cell>
          <cell r="G551">
            <v>524</v>
          </cell>
          <cell r="H551">
            <v>43139</v>
          </cell>
          <cell r="I551" t="str">
            <v>AYUDA TEMPORAL A LAS FAMILIAS DE VARIAS LOCALIDADES, PARA RELOCALIZACIÓN DE HOGARES LOCALIZADOS EN ZONAS DE ALTO RIESGO NO MITIGABLE ID:2011-19-12566, LOCALIDAD:19 CIUDAD BOLÍVAR, UPZ:69 ISMAEL PERDOMO, SECTOR:OLA INVERNAL 2010 FOPAE</v>
          </cell>
          <cell r="J551">
            <v>3157574</v>
          </cell>
          <cell r="K551">
            <v>2255410</v>
          </cell>
          <cell r="L551">
            <v>902164</v>
          </cell>
          <cell r="M551">
            <v>902164</v>
          </cell>
          <cell r="N551">
            <v>0</v>
          </cell>
        </row>
        <row r="552">
          <cell r="A552">
            <v>395</v>
          </cell>
          <cell r="B552">
            <v>908</v>
          </cell>
          <cell r="C552">
            <v>43139</v>
          </cell>
          <cell r="D552" t="str">
            <v>HECTOR DANILO FORERO PALACIO</v>
          </cell>
          <cell r="E552">
            <v>31</v>
          </cell>
          <cell r="F552" t="str">
            <v>RESOLUCION</v>
          </cell>
          <cell r="G552">
            <v>525</v>
          </cell>
          <cell r="H552">
            <v>43139</v>
          </cell>
          <cell r="I552" t="str">
            <v>AYUDA TEMPORAL A LAS FAMILIAS DE VARIAS LOCALIDADES, PARA RELOCALIZACIÓN DE HOGARES LOCALIZADOS EN ZONAS DE ALTO RIESGO NO MITIGABLE ID:2015-D227-00046, LOCALIDAD:04 SAN CRISTÓBAL, UPZ:51 LOS LIBERTADORES, SECTOR:SANTA TERESITA</v>
          </cell>
          <cell r="J552">
            <v>2582006</v>
          </cell>
          <cell r="K552">
            <v>0</v>
          </cell>
          <cell r="L552">
            <v>2582006</v>
          </cell>
          <cell r="M552">
            <v>1475432</v>
          </cell>
          <cell r="N552">
            <v>1106574</v>
          </cell>
        </row>
        <row r="553">
          <cell r="A553">
            <v>395</v>
          </cell>
          <cell r="B553">
            <v>909</v>
          </cell>
          <cell r="C553">
            <v>43139</v>
          </cell>
          <cell r="D553" t="str">
            <v>BEYER ERIBERTO ARENAS SALGADO</v>
          </cell>
          <cell r="E553">
            <v>31</v>
          </cell>
          <cell r="F553" t="str">
            <v>RESOLUCION</v>
          </cell>
          <cell r="G553">
            <v>526</v>
          </cell>
          <cell r="H553">
            <v>43139</v>
          </cell>
          <cell r="I553" t="str">
            <v>AYUDA TEMPORAL A LAS FAMILIAS DE VARIAS LOCALIDADES, PARA RELOCALIZACIÓN DE HOGARES LOCALIZADOS EN ZONAS DE ALTO RIESGO NO MITIGABLE ID:2013-Q09-00157, LOCALIDAD:19 CIUDAD BOLÍVAR, UPZ:67 LUCERO, SECTOR:QUEBRADA TROMPETA</v>
          </cell>
          <cell r="J553">
            <v>2886919</v>
          </cell>
          <cell r="K553">
            <v>0</v>
          </cell>
          <cell r="L553">
            <v>2886919</v>
          </cell>
          <cell r="M553">
            <v>1649668</v>
          </cell>
          <cell r="N553">
            <v>1237251</v>
          </cell>
        </row>
        <row r="554">
          <cell r="A554">
            <v>395</v>
          </cell>
          <cell r="B554">
            <v>910</v>
          </cell>
          <cell r="C554">
            <v>43139</v>
          </cell>
          <cell r="D554" t="str">
            <v>MARIA ELISA SAMACA TOCARRUNCHO</v>
          </cell>
          <cell r="E554">
            <v>31</v>
          </cell>
          <cell r="F554" t="str">
            <v>RESOLUCION</v>
          </cell>
          <cell r="G554">
            <v>527</v>
          </cell>
          <cell r="H554">
            <v>43139</v>
          </cell>
          <cell r="I554" t="str">
            <v>AYUDA TEMPORAL A LAS FAMILIAS DE VARIAS LOCALIDADES, PARA RELOCALIZACIÓN DE HOGARES LOCALIZADOS EN ZONAS DE ALTO RIESGO NO MITIGABLE ID:2006-3-8885, LOCALIDAD:03 SANTA FE, UPZ:96 LOURDES</v>
          </cell>
          <cell r="J554">
            <v>6282705</v>
          </cell>
          <cell r="K554">
            <v>0</v>
          </cell>
          <cell r="L554">
            <v>6282705</v>
          </cell>
          <cell r="M554">
            <v>1933140</v>
          </cell>
          <cell r="N554">
            <v>4349565</v>
          </cell>
        </row>
        <row r="555">
          <cell r="A555">
            <v>395</v>
          </cell>
          <cell r="B555">
            <v>911</v>
          </cell>
          <cell r="C555">
            <v>43139</v>
          </cell>
          <cell r="D555" t="str">
            <v>CARLOS ANDRES CRUZ RODRIGUEZ</v>
          </cell>
          <cell r="E555">
            <v>31</v>
          </cell>
          <cell r="F555" t="str">
            <v>RESOLUCION</v>
          </cell>
          <cell r="G555">
            <v>528</v>
          </cell>
          <cell r="H555">
            <v>43139</v>
          </cell>
          <cell r="I555" t="str">
            <v>AYUDA TEMPORAL A LAS FAMILIAS DE VARIAS LOCALIDADES, PARA RELOCALIZACIÓN DE HOGARES LOCALIZADOS EN ZONAS DE ALTO RIESGO NO MITIGABLE ID:2015-D227-00037, LOCALIDAD:04 SAN CRISTÓBAL, UPZ:51 LOS LIBERTADORES, SECTOR:SANTA TERESITA</v>
          </cell>
          <cell r="J555">
            <v>6199661</v>
          </cell>
          <cell r="K555">
            <v>0</v>
          </cell>
          <cell r="L555">
            <v>6199661</v>
          </cell>
          <cell r="M555">
            <v>1907588</v>
          </cell>
          <cell r="N555">
            <v>4292073</v>
          </cell>
        </row>
        <row r="556">
          <cell r="A556">
            <v>395</v>
          </cell>
          <cell r="B556">
            <v>912</v>
          </cell>
          <cell r="C556">
            <v>43139</v>
          </cell>
          <cell r="D556" t="str">
            <v>YONY JAVIER CARO LEMUS</v>
          </cell>
          <cell r="E556">
            <v>31</v>
          </cell>
          <cell r="F556" t="str">
            <v>RESOLUCION</v>
          </cell>
          <cell r="G556">
            <v>529</v>
          </cell>
          <cell r="H556">
            <v>43139</v>
          </cell>
          <cell r="I556" t="str">
            <v>AYUDA TEMPORAL A LAS FAMILIAS DE VARIAS LOCALIDADES, PARA RELOCALIZACIÓN DE HOGARES LOCALIZADOS EN ZONAS DE ALTO RIESGO NO MITIGABLE ID:2011-4-13533, LOCALIDAD:04 SAN CRISTÓBAL, UPZ:50 LA GLORIA</v>
          </cell>
          <cell r="J556">
            <v>3711824</v>
          </cell>
          <cell r="K556">
            <v>0</v>
          </cell>
          <cell r="L556">
            <v>3711824</v>
          </cell>
          <cell r="M556">
            <v>1391934</v>
          </cell>
          <cell r="N556">
            <v>2319890</v>
          </cell>
        </row>
        <row r="557">
          <cell r="A557">
            <v>395</v>
          </cell>
          <cell r="B557">
            <v>913</v>
          </cell>
          <cell r="C557">
            <v>43139</v>
          </cell>
          <cell r="D557" t="str">
            <v>EMILCEN  LLANTEN GUERRERO</v>
          </cell>
          <cell r="E557">
            <v>31</v>
          </cell>
          <cell r="F557" t="str">
            <v>RESOLUCION</v>
          </cell>
          <cell r="G557">
            <v>530</v>
          </cell>
          <cell r="H557">
            <v>43139</v>
          </cell>
          <cell r="I557" t="str">
            <v>AYUDA TEMPORAL A LAS FAMILIAS DE VARIAS LOCALIDADES, PARA RELOCALIZACIÓN DE HOGARES LOCALIZADOS EN ZONAS DE ALTO RIESGO NO MITIGABLE ID:2012-ALES-468, LOCALIDAD:19 CIUDAD BOLÍVAR, UPZ:69 ISMAEL PERDOMO, SECTOR:ALTOS DE LA ESTANCIA</v>
          </cell>
          <cell r="J557">
            <v>5603000</v>
          </cell>
          <cell r="K557">
            <v>0</v>
          </cell>
          <cell r="L557">
            <v>5603000</v>
          </cell>
          <cell r="M557">
            <v>1724000</v>
          </cell>
          <cell r="N557">
            <v>3879000</v>
          </cell>
        </row>
        <row r="558">
          <cell r="A558">
            <v>395</v>
          </cell>
          <cell r="B558">
            <v>914</v>
          </cell>
          <cell r="C558">
            <v>43139</v>
          </cell>
          <cell r="D558" t="str">
            <v>MARIA LUCRECIA CORTES JOTA</v>
          </cell>
          <cell r="E558">
            <v>31</v>
          </cell>
          <cell r="F558" t="str">
            <v>RESOLUCION</v>
          </cell>
          <cell r="G558">
            <v>531</v>
          </cell>
          <cell r="H558">
            <v>43139</v>
          </cell>
          <cell r="I558" t="str">
            <v>AYUDA TEMPORAL A LAS FAMILIAS DE VARIAS LOCALIDADES, PARA RELOCALIZACIÓN DE HOGARES LOCALIZADOS EN ZONAS DE ALTO RIESGO NO MITIGABLE ID:2012-19-13826, LOCALIDAD:19 CIUDAD BOLÍVAR, UPZ:67 LUCERO</v>
          </cell>
          <cell r="J558">
            <v>2796906</v>
          </cell>
          <cell r="K558">
            <v>0</v>
          </cell>
          <cell r="L558">
            <v>2796906</v>
          </cell>
          <cell r="M558">
            <v>1198674</v>
          </cell>
          <cell r="N558">
            <v>1598232</v>
          </cell>
        </row>
        <row r="559">
          <cell r="A559">
            <v>395</v>
          </cell>
          <cell r="B559">
            <v>915</v>
          </cell>
          <cell r="C559">
            <v>43139</v>
          </cell>
          <cell r="D559" t="str">
            <v>MARGI  CUEVAS CALDERON</v>
          </cell>
          <cell r="E559">
            <v>31</v>
          </cell>
          <cell r="F559" t="str">
            <v>RESOLUCION</v>
          </cell>
          <cell r="G559">
            <v>532</v>
          </cell>
          <cell r="H559">
            <v>43139</v>
          </cell>
          <cell r="I559" t="str">
            <v>AYUDA TEMPORAL A LAS FAMILIAS DE VARIAS LOCALIDADES, PARA RELOCALIZACIÓN DE HOGARES LOCALIZADOS EN ZONAS DE ALTO RIESGO NO MITIGABLE ID:2016-08-14831, LOCALIDAD:08 KENNEDY, UPZ:82 PATIO BONITO, SECTOR:PALMITAS</v>
          </cell>
          <cell r="J559">
            <v>4795154</v>
          </cell>
          <cell r="K559">
            <v>0</v>
          </cell>
          <cell r="L559">
            <v>4795154</v>
          </cell>
          <cell r="M559">
            <v>1475432</v>
          </cell>
          <cell r="N559">
            <v>3319722</v>
          </cell>
        </row>
        <row r="560">
          <cell r="A560">
            <v>395</v>
          </cell>
          <cell r="B560">
            <v>916</v>
          </cell>
          <cell r="C560">
            <v>43139</v>
          </cell>
          <cell r="D560" t="str">
            <v>LIBIA AZUCENA FRANCO ALGECIRA</v>
          </cell>
          <cell r="E560">
            <v>31</v>
          </cell>
          <cell r="F560" t="str">
            <v>RESOLUCION</v>
          </cell>
          <cell r="G560">
            <v>533</v>
          </cell>
          <cell r="H560">
            <v>43139</v>
          </cell>
          <cell r="I560" t="str">
            <v>AYUDA TEMPORAL A LAS FAMILIAS DE VARIAS LOCALIDADES, PARA RELOCALIZACIÓN DE HOGARES LOCALIZADOS EN ZONAS DE ALTO RIESGO NO MITIGABLE ID:2014-18-14705, LOCALIDAD:18 RAFAEL URIBE URIBE, UPZ:53 MARCO FIDEL SUÁREZ, SECTOR:</v>
          </cell>
          <cell r="J560">
            <v>2602439</v>
          </cell>
          <cell r="K560">
            <v>0</v>
          </cell>
          <cell r="L560">
            <v>2602439</v>
          </cell>
          <cell r="M560">
            <v>1487108</v>
          </cell>
          <cell r="N560">
            <v>1115331</v>
          </cell>
        </row>
        <row r="561">
          <cell r="A561">
            <v>395</v>
          </cell>
          <cell r="B561">
            <v>917</v>
          </cell>
          <cell r="C561">
            <v>43139</v>
          </cell>
          <cell r="D561" t="str">
            <v>BLANCA DORIS FERNANDEZ</v>
          </cell>
          <cell r="E561">
            <v>31</v>
          </cell>
          <cell r="F561" t="str">
            <v>RESOLUCION</v>
          </cell>
          <cell r="G561">
            <v>534</v>
          </cell>
          <cell r="H561">
            <v>43139</v>
          </cell>
          <cell r="I561" t="str">
            <v>AYUDA TEMPORAL A LAS FAMILIAS DE VARIAS LOCALIDADES, PARA RELOCALIZACIÓN DE HOGARES LOCALIZADOS EN ZONAS DE ALTO RIESGO NO MITIGABLE ID:2013-Q09-00189, LOCALIDAD:19 CIUDAD BOLÍVAR, UPZ:67 LUCERO, SECTOR:QUEBRADA TROMPETA</v>
          </cell>
          <cell r="J561">
            <v>3157315</v>
          </cell>
          <cell r="K561">
            <v>0</v>
          </cell>
          <cell r="L561">
            <v>3157315</v>
          </cell>
          <cell r="M561">
            <v>1804180</v>
          </cell>
          <cell r="N561">
            <v>1353135</v>
          </cell>
        </row>
        <row r="562">
          <cell r="A562">
            <v>395</v>
          </cell>
          <cell r="B562">
            <v>918</v>
          </cell>
          <cell r="C562">
            <v>43139</v>
          </cell>
          <cell r="D562" t="str">
            <v>MARIA JUDY GARZON GUATAVA</v>
          </cell>
          <cell r="E562">
            <v>31</v>
          </cell>
          <cell r="F562" t="str">
            <v>RESOLUCION</v>
          </cell>
          <cell r="G562">
            <v>535</v>
          </cell>
          <cell r="H562">
            <v>43139</v>
          </cell>
          <cell r="I562" t="str">
            <v>AYUDA TEMPORAL A LAS FAMILIAS DE VARIAS LOCALIDADES, PARA RELOCALIZACIÓN DE HOGARES LOCALIZADOS EN ZONAS DE ALTO RIESGO NO MITIGABLE ID:2012-19-13823, LOCALIDAD:19 CIUDAD BOLÍVAR, UPZ:67 LUCERO</v>
          </cell>
          <cell r="J562">
            <v>2582006</v>
          </cell>
          <cell r="K562">
            <v>0</v>
          </cell>
          <cell r="L562">
            <v>2582006</v>
          </cell>
          <cell r="M562">
            <v>1106574</v>
          </cell>
          <cell r="N562">
            <v>1475432</v>
          </cell>
        </row>
        <row r="563">
          <cell r="A563">
            <v>395</v>
          </cell>
          <cell r="B563">
            <v>919</v>
          </cell>
          <cell r="C563">
            <v>43139</v>
          </cell>
          <cell r="D563" t="str">
            <v>ALDEMAR  MALAVER CRUZ</v>
          </cell>
          <cell r="E563">
            <v>31</v>
          </cell>
          <cell r="F563" t="str">
            <v>RESOLUCION</v>
          </cell>
          <cell r="G563">
            <v>536</v>
          </cell>
          <cell r="H563">
            <v>43139</v>
          </cell>
          <cell r="I563" t="str">
            <v>AYUDA TEMPORAL A LAS FAMILIAS DE VARIAS LOCALIDADES, PARA RELOCALIZACIÓN DE HOGARES LOCALIZADOS EN ZONAS DE ALTO RIESGO NO MITIGABLE ID:2015-Q03-01488, LOCALIDAD:19 CIUDAD BOLÍVAR, UPZ:66 SAN FRANCISCO, SECTOR:LIMAS</v>
          </cell>
          <cell r="J563">
            <v>2582006</v>
          </cell>
          <cell r="K563">
            <v>0</v>
          </cell>
          <cell r="L563">
            <v>2582006</v>
          </cell>
          <cell r="M563">
            <v>1475432</v>
          </cell>
          <cell r="N563">
            <v>1106574</v>
          </cell>
        </row>
        <row r="564">
          <cell r="A564">
            <v>395</v>
          </cell>
          <cell r="B564">
            <v>920</v>
          </cell>
          <cell r="C564">
            <v>43139</v>
          </cell>
          <cell r="D564" t="str">
            <v>JOSE DE JESUS RODRIGUEZ RODRIGUEZ</v>
          </cell>
          <cell r="E564">
            <v>31</v>
          </cell>
          <cell r="F564" t="str">
            <v>RESOLUCION</v>
          </cell>
          <cell r="G564">
            <v>537</v>
          </cell>
          <cell r="H564">
            <v>43139</v>
          </cell>
          <cell r="I564" t="str">
            <v>AYUDA TEMPORAL A LAS FAMILIAS DE VARIAS LOCALIDADES, PARA RELOCALIZACIÓN DE HOGARES LOCALIZADOS EN ZONAS DE ALTO RIESGO NO MITIGABLE ID:2015-Q03-01427, LOCALIDAD:19 CIUDAD BOLÍVAR, UPZ:66 SAN FRANCISCO, SECTOR:LIMAS</v>
          </cell>
          <cell r="J564">
            <v>3157315</v>
          </cell>
          <cell r="K564">
            <v>0</v>
          </cell>
          <cell r="L564">
            <v>3157315</v>
          </cell>
          <cell r="M564">
            <v>1804180</v>
          </cell>
          <cell r="N564">
            <v>1353135</v>
          </cell>
        </row>
        <row r="565">
          <cell r="A565">
            <v>395</v>
          </cell>
          <cell r="B565">
            <v>921</v>
          </cell>
          <cell r="C565">
            <v>43139</v>
          </cell>
          <cell r="D565" t="str">
            <v>ANGIE JULIETTE ROJAS CARRILLO</v>
          </cell>
          <cell r="E565">
            <v>31</v>
          </cell>
          <cell r="F565" t="str">
            <v>RESOLUCION</v>
          </cell>
          <cell r="G565">
            <v>538</v>
          </cell>
          <cell r="H565">
            <v>43139</v>
          </cell>
          <cell r="I565" t="str">
            <v>AYUDA TEMPORAL A LAS FAMILIAS DE VARIAS LOCALIDADES, PARA RELOCALIZACIÓN DE HOGARES LOCALIZADOS EN ZONAS DE ALTO RIESGO NO MITIGABLE ID:2015-Q03-01433, LOCALIDAD:19 CIUDAD BOLÍVAR, UPZ:66 SAN FRANCISCO, SECTOR:LIMAS</v>
          </cell>
          <cell r="J565">
            <v>3157315</v>
          </cell>
          <cell r="K565">
            <v>0</v>
          </cell>
          <cell r="L565">
            <v>3157315</v>
          </cell>
          <cell r="M565">
            <v>1804180</v>
          </cell>
          <cell r="N565">
            <v>1353135</v>
          </cell>
        </row>
        <row r="566">
          <cell r="A566">
            <v>395</v>
          </cell>
          <cell r="B566">
            <v>922</v>
          </cell>
          <cell r="C566">
            <v>43139</v>
          </cell>
          <cell r="D566" t="str">
            <v>YEISMI  GALINDO GONZALEZ</v>
          </cell>
          <cell r="E566">
            <v>31</v>
          </cell>
          <cell r="F566" t="str">
            <v>RESOLUCION</v>
          </cell>
          <cell r="G566">
            <v>539</v>
          </cell>
          <cell r="H566">
            <v>43139</v>
          </cell>
          <cell r="I566" t="str">
            <v>AYUDA TEMPORAL A LAS FAMILIAS DE VARIAS LOCALIDADES, PARA RELOCALIZACIÓN DE HOGARES LOCALIZADOS EN ZONAS DE ALTO RIESGO NO MITIGABLE ID:2014-OTR-00949, LOCALIDAD:19 CIUDAD BOLÍVAR, UPZ:67 LUCERO, SECTOR:TABOR ALTALOMA</v>
          </cell>
          <cell r="J566">
            <v>3383254</v>
          </cell>
          <cell r="K566">
            <v>0</v>
          </cell>
          <cell r="L566">
            <v>3383254</v>
          </cell>
          <cell r="M566">
            <v>1933288</v>
          </cell>
          <cell r="N566">
            <v>1449966</v>
          </cell>
        </row>
        <row r="567">
          <cell r="A567">
            <v>395</v>
          </cell>
          <cell r="B567">
            <v>923</v>
          </cell>
          <cell r="C567">
            <v>43139</v>
          </cell>
          <cell r="D567" t="str">
            <v>MARIA HELENA GALINDO GONZALEZ</v>
          </cell>
          <cell r="E567">
            <v>31</v>
          </cell>
          <cell r="F567" t="str">
            <v>RESOLUCION</v>
          </cell>
          <cell r="G567">
            <v>540</v>
          </cell>
          <cell r="H567">
            <v>43139</v>
          </cell>
          <cell r="I567" t="str">
            <v>AYUDA TEMPORAL A LAS FAMILIAS DE VARIAS LOCALIDADES, PARA RELOCALIZACIÓN DE HOGARES LOCALIZADOS EN ZONAS DE ALTO RIESGO NO MITIGABLE ID:2014-OTR-00956, LOCALIDAD:19 CIUDAD BOLÍVAR, UPZ:67 LUCERO, SECTOR:TABOR ALTALOMA</v>
          </cell>
          <cell r="J567">
            <v>3383254</v>
          </cell>
          <cell r="K567">
            <v>0</v>
          </cell>
          <cell r="L567">
            <v>3383254</v>
          </cell>
          <cell r="M567">
            <v>1933288</v>
          </cell>
          <cell r="N567">
            <v>1449966</v>
          </cell>
        </row>
        <row r="568">
          <cell r="A568">
            <v>395</v>
          </cell>
          <cell r="B568">
            <v>924</v>
          </cell>
          <cell r="C568">
            <v>43139</v>
          </cell>
          <cell r="D568" t="str">
            <v>MARIA DEL CARMEN GONZALEZ</v>
          </cell>
          <cell r="E568">
            <v>31</v>
          </cell>
          <cell r="F568" t="str">
            <v>RESOLUCION</v>
          </cell>
          <cell r="G568">
            <v>541</v>
          </cell>
          <cell r="H568">
            <v>43139</v>
          </cell>
          <cell r="I568" t="str">
            <v>AYUDA TEMPORAL A LAS FAMILIAS DE VARIAS LOCALIDADES, PARA RELOCALIZACIÓN DE HOGARES LOCALIZADOS EN ZONAS DE ALTO RIESGO NO MITIGABLE ID:2014-OTR-00966, LOCALIDAD:19 CIUDAD BOLÍVAR, UPZ:67 LUCERO, SECTOR:TABOR ALTALOMA</v>
          </cell>
          <cell r="J568">
            <v>3619000</v>
          </cell>
          <cell r="K568">
            <v>0</v>
          </cell>
          <cell r="L568">
            <v>3619000</v>
          </cell>
          <cell r="M568">
            <v>2068000</v>
          </cell>
          <cell r="N568">
            <v>1551000</v>
          </cell>
        </row>
        <row r="569">
          <cell r="A569">
            <v>395</v>
          </cell>
          <cell r="B569">
            <v>925</v>
          </cell>
          <cell r="C569">
            <v>43139</v>
          </cell>
          <cell r="D569" t="str">
            <v>AGRIPINA IMELDA ROBLES VIUDA DE TINJACA</v>
          </cell>
          <cell r="E569">
            <v>31</v>
          </cell>
          <cell r="F569" t="str">
            <v>RESOLUCION</v>
          </cell>
          <cell r="G569">
            <v>542</v>
          </cell>
          <cell r="H569">
            <v>43139</v>
          </cell>
          <cell r="I569" t="str">
            <v>AYUDA TEMPORAL A LAS FAMILIAS DE VARIAS LOCALIDADES, PARA RELOCALIZACIÓN DE HOGARES LOCALIZADOS EN ZONAS DE ALTO RIESGO NO MITIGABLE ID:2013-Q04-00283, LOCALIDAD:19 CIUDAD BOLÍVAR, UPZ:67 LUCERO, SECTOR:PEÑA COLORADA</v>
          </cell>
          <cell r="J569">
            <v>3017000</v>
          </cell>
          <cell r="K569">
            <v>0</v>
          </cell>
          <cell r="L569">
            <v>3017000</v>
          </cell>
          <cell r="M569">
            <v>1724000</v>
          </cell>
          <cell r="N569">
            <v>1293000</v>
          </cell>
        </row>
        <row r="570">
          <cell r="A570">
            <v>395</v>
          </cell>
          <cell r="B570">
            <v>926</v>
          </cell>
          <cell r="C570">
            <v>43139</v>
          </cell>
          <cell r="D570" t="str">
            <v>YENNI PATRICIA ROA CASAS</v>
          </cell>
          <cell r="E570">
            <v>31</v>
          </cell>
          <cell r="F570" t="str">
            <v>RESOLUCION</v>
          </cell>
          <cell r="G570">
            <v>543</v>
          </cell>
          <cell r="H570">
            <v>43139</v>
          </cell>
          <cell r="I570" t="str">
            <v>AYUDA TEMPORAL A LAS FAMILIAS DE VARIAS LOCALIDADES, PARA RELOCALIZACIÓN DE HOGARES LOCALIZADOS EN ZONAS DE ALTO RIESGO NO MITIGABLE ID:2010-19-12301, LOCALIDAD:19 CIUDAD BOLÍVAR, UPZ:67 LUCERO</v>
          </cell>
          <cell r="J570">
            <v>4979592</v>
          </cell>
          <cell r="K570">
            <v>0</v>
          </cell>
          <cell r="L570">
            <v>4979592</v>
          </cell>
          <cell r="M570">
            <v>2213152</v>
          </cell>
          <cell r="N570">
            <v>2766440</v>
          </cell>
        </row>
        <row r="571">
          <cell r="A571">
            <v>395</v>
          </cell>
          <cell r="B571">
            <v>927</v>
          </cell>
          <cell r="C571">
            <v>43139</v>
          </cell>
          <cell r="D571" t="str">
            <v>JESUS EDUARDO HENAO SOTO</v>
          </cell>
          <cell r="E571">
            <v>31</v>
          </cell>
          <cell r="F571" t="str">
            <v>RESOLUCION</v>
          </cell>
          <cell r="G571">
            <v>544</v>
          </cell>
          <cell r="H571">
            <v>43139</v>
          </cell>
          <cell r="I571" t="str">
            <v>AYUDA TEMPORAL A LAS FAMILIAS DE VARIAS LOCALIDADES, PARA RELOCALIZACIÓN DE HOGARES LOCALIZADOS EN ZONAS DE ALTO RIESGO NO MITIGABLE ID:2013-Q04-00297, LOCALIDAD:19 CIUDAD BOLÍVAR, UPZ:67 LUCERO, SECTOR:PEÑA COLORADA</v>
          </cell>
          <cell r="J571">
            <v>6713226</v>
          </cell>
          <cell r="K571">
            <v>0</v>
          </cell>
          <cell r="L571">
            <v>6713226</v>
          </cell>
          <cell r="M571">
            <v>2065608</v>
          </cell>
          <cell r="N571">
            <v>4647618</v>
          </cell>
        </row>
        <row r="572">
          <cell r="A572">
            <v>395</v>
          </cell>
          <cell r="B572">
            <v>928</v>
          </cell>
          <cell r="C572">
            <v>43139</v>
          </cell>
          <cell r="D572" t="str">
            <v>OMAR  SALAZAR HERNANDEZ</v>
          </cell>
          <cell r="E572">
            <v>31</v>
          </cell>
          <cell r="F572" t="str">
            <v>RESOLUCION</v>
          </cell>
          <cell r="G572">
            <v>545</v>
          </cell>
          <cell r="H572">
            <v>43139</v>
          </cell>
          <cell r="I572" t="str">
            <v>AYUDA TEMPORAL A LAS FAMILIAS DE VARIAS LOCALIDADES, PARA RELOCALIZACIÓN DE HOGARES LOCALIZADOS EN ZONAS DE ALTO RIESGO NO MITIGABLE ID:2008-4-10769, LOCALIDAD:04 SAN CRISTÓBAL, UPZ:51 LOS LIBERTADORES, SECTOR:QUEBRADA VEREJONES</v>
          </cell>
          <cell r="J572">
            <v>3254769</v>
          </cell>
          <cell r="K572">
            <v>0</v>
          </cell>
          <cell r="L572">
            <v>3254769</v>
          </cell>
          <cell r="M572">
            <v>1394901</v>
          </cell>
          <cell r="N572">
            <v>1859868</v>
          </cell>
        </row>
        <row r="573">
          <cell r="A573">
            <v>395</v>
          </cell>
          <cell r="B573">
            <v>929</v>
          </cell>
          <cell r="C573">
            <v>43139</v>
          </cell>
          <cell r="D573" t="str">
            <v>ALBA YOLIMA GARCIA</v>
          </cell>
          <cell r="E573">
            <v>31</v>
          </cell>
          <cell r="F573" t="str">
            <v>RESOLUCION</v>
          </cell>
          <cell r="G573">
            <v>546</v>
          </cell>
          <cell r="H573">
            <v>43139</v>
          </cell>
          <cell r="I573" t="str">
            <v>AYUDA TEMPORAL A LAS FAMILIAS DE VARIAS LOCALIDADES, PARA RELOCALIZACIÓN DE HOGARES LOCALIZADOS EN ZONAS DE ALTO RIESGO NO MITIGABLE ID:2006-19-8545, LOCALIDAD:19 CIUDAD BOLÍVAR, UPZ:68 EL TESORO, SECTOR:QUEBRADA EL INFIERNO</v>
          </cell>
          <cell r="J573">
            <v>2788569</v>
          </cell>
          <cell r="K573">
            <v>0</v>
          </cell>
          <cell r="L573">
            <v>2788569</v>
          </cell>
          <cell r="M573">
            <v>1593468</v>
          </cell>
          <cell r="N573">
            <v>1195101</v>
          </cell>
        </row>
        <row r="574">
          <cell r="A574">
            <v>395</v>
          </cell>
          <cell r="B574">
            <v>930</v>
          </cell>
          <cell r="C574">
            <v>43139</v>
          </cell>
          <cell r="D574" t="str">
            <v>FLOR ALBA RODRIGUEZ GOMEZ</v>
          </cell>
          <cell r="E574">
            <v>31</v>
          </cell>
          <cell r="F574" t="str">
            <v>RESOLUCION</v>
          </cell>
          <cell r="G574">
            <v>547</v>
          </cell>
          <cell r="H574">
            <v>43139</v>
          </cell>
          <cell r="I574" t="str">
            <v>AYUDA TEMPORAL A LAS FAMILIAS DE VARIAS LOCALIDADES, PARA RELOCALIZACIÓN DE HOGARES LOCALIZADOS EN ZONAS DE ALTO RIESGO NO MITIGABLE ID:2009-4-11165, LOCALIDAD:04 SAN CRISTÓBAL, UPZ:50 LA GLORIA</v>
          </cell>
          <cell r="J574">
            <v>3157574</v>
          </cell>
          <cell r="K574">
            <v>0</v>
          </cell>
          <cell r="L574">
            <v>3157574</v>
          </cell>
          <cell r="M574">
            <v>1804328</v>
          </cell>
          <cell r="N574">
            <v>1353246</v>
          </cell>
        </row>
        <row r="575">
          <cell r="A575">
            <v>395</v>
          </cell>
          <cell r="B575">
            <v>931</v>
          </cell>
          <cell r="C575">
            <v>43139</v>
          </cell>
          <cell r="D575" t="str">
            <v>NATALI  RODRIGUEZ GONZALEZ</v>
          </cell>
          <cell r="E575">
            <v>31</v>
          </cell>
          <cell r="F575" t="str">
            <v>RESOLUCION</v>
          </cell>
          <cell r="G575">
            <v>548</v>
          </cell>
          <cell r="H575">
            <v>43139</v>
          </cell>
          <cell r="I575" t="str">
            <v>AYUDA TEMPORAL A LAS FAMILIAS DE VARIAS LOCALIDADES, PARA RELOCALIZACIÓN DE HOGARES LOCALIZADOS EN ZONAS DE ALTO RIESGO NO MITIGABLE ID:2014-OTR-01001, LOCALIDAD:19 CIUDAD BOLÍVAR, UPZ:67 LUCERO, SECTOR:TABOR ALTALOMA</v>
          </cell>
          <cell r="J575">
            <v>2582006</v>
          </cell>
          <cell r="K575">
            <v>0</v>
          </cell>
          <cell r="L575">
            <v>2582006</v>
          </cell>
          <cell r="M575">
            <v>1475432</v>
          </cell>
          <cell r="N575">
            <v>1106574</v>
          </cell>
        </row>
        <row r="576">
          <cell r="A576">
            <v>395</v>
          </cell>
          <cell r="B576">
            <v>932</v>
          </cell>
          <cell r="C576">
            <v>43139</v>
          </cell>
          <cell r="D576" t="str">
            <v>MAIRA TATIANA GARCIA GUTIERREZ</v>
          </cell>
          <cell r="E576">
            <v>31</v>
          </cell>
          <cell r="F576" t="str">
            <v>RESOLUCION</v>
          </cell>
          <cell r="G576">
            <v>549</v>
          </cell>
          <cell r="H576">
            <v>43139</v>
          </cell>
          <cell r="I576" t="str">
            <v>AYUDA TEMPORAL A LAS FAMILIAS DE VARIAS LOCALIDADES, PARA RELOCALIZACIÓN DE HOGARES LOCALIZADOS EN ZONAS DE ALTO RIESGO NO MITIGABLE ID:2014-OTR-01101, LOCALIDAD:19 CIUDAD BOLÍVAR, UPZ:67 LUCERO, SECTOR:TABOR ALTALOMA</v>
          </cell>
          <cell r="J576">
            <v>5603000</v>
          </cell>
          <cell r="K576">
            <v>0</v>
          </cell>
          <cell r="L576">
            <v>5603000</v>
          </cell>
          <cell r="M576">
            <v>1293000</v>
          </cell>
          <cell r="N576">
            <v>4310000</v>
          </cell>
        </row>
        <row r="577">
          <cell r="A577">
            <v>395</v>
          </cell>
          <cell r="B577">
            <v>933</v>
          </cell>
          <cell r="C577">
            <v>43139</v>
          </cell>
          <cell r="D577" t="str">
            <v>GILDARDO  TOVAR ABELLO</v>
          </cell>
          <cell r="E577">
            <v>31</v>
          </cell>
          <cell r="F577" t="str">
            <v>RESOLUCION</v>
          </cell>
          <cell r="G577">
            <v>471</v>
          </cell>
          <cell r="H577">
            <v>43139</v>
          </cell>
          <cell r="I577" t="str">
            <v>AYUDA TEMPORAL A LAS FAMILIAS DE VARIAS LOCALIDADES, PARA RELOCALIZACIÓN DE HOGARES LOCALIZADOS EN ZONAS DE ALTO RIESGO NO MITIGABLE ID:2016-19-00006, LOCALIDAD:19 CIUDAD BOLÍVAR, UPZ:67 LUCERO</v>
          </cell>
          <cell r="J577">
            <v>2685291</v>
          </cell>
          <cell r="K577">
            <v>0</v>
          </cell>
          <cell r="L577">
            <v>2685291</v>
          </cell>
          <cell r="M577">
            <v>1150839</v>
          </cell>
          <cell r="N577">
            <v>1534452</v>
          </cell>
        </row>
        <row r="578">
          <cell r="A578">
            <v>395</v>
          </cell>
          <cell r="B578">
            <v>934</v>
          </cell>
          <cell r="C578">
            <v>43139</v>
          </cell>
          <cell r="D578" t="str">
            <v>HECTOR JULIO GOMEZ HERRERA</v>
          </cell>
          <cell r="E578">
            <v>31</v>
          </cell>
          <cell r="F578" t="str">
            <v>RESOLUCION</v>
          </cell>
          <cell r="G578">
            <v>478</v>
          </cell>
          <cell r="H578">
            <v>43139</v>
          </cell>
          <cell r="I578" t="str">
            <v>AYUDA TEMPORAL A LAS FAMILIAS DE VARIAS LOCALIDADES, PARA RELOCALIZACIÓN DE HOGARES LOCALIZADOS EN ZONAS DE ALTO RIESGO NO MITIGABLE ID:2010-5-11595, LOCALIDAD:05 USME, UPZ:57 GRAN YOMASA, SECTOR:OLA INVERNAL 2010 FOPAE</v>
          </cell>
          <cell r="J578">
            <v>2582006</v>
          </cell>
          <cell r="K578">
            <v>0</v>
          </cell>
          <cell r="L578">
            <v>2582006</v>
          </cell>
          <cell r="M578">
            <v>1475432</v>
          </cell>
          <cell r="N578">
            <v>1106574</v>
          </cell>
        </row>
        <row r="579">
          <cell r="A579">
            <v>395</v>
          </cell>
          <cell r="B579">
            <v>935</v>
          </cell>
          <cell r="C579">
            <v>43139</v>
          </cell>
          <cell r="D579" t="str">
            <v>SANDRA PILAR GUAVITA GAITAN</v>
          </cell>
          <cell r="E579">
            <v>31</v>
          </cell>
          <cell r="F579" t="str">
            <v>RESOLUCION</v>
          </cell>
          <cell r="G579">
            <v>479</v>
          </cell>
          <cell r="H579">
            <v>43139</v>
          </cell>
          <cell r="I579" t="str">
            <v>AYUDA TEMPORAL A LAS FAMILIAS DE VARIAS LOCALIDADES, PARA RELOCALIZACIÓN DE HOGARES LOCALIZADOS EN ZONAS DE ALTO RIESGO NO MITIGABLE ID:2010-5-11643, LOCALIDAD:05 USME, UPZ:57 GRAN YOMASA, SECTOR:OLA INVERNAL 2010 FOPAE</v>
          </cell>
          <cell r="J579">
            <v>2582006</v>
          </cell>
          <cell r="K579">
            <v>0</v>
          </cell>
          <cell r="L579">
            <v>2582006</v>
          </cell>
          <cell r="M579">
            <v>1475432</v>
          </cell>
          <cell r="N579">
            <v>1106574</v>
          </cell>
        </row>
        <row r="580">
          <cell r="A580">
            <v>395</v>
          </cell>
          <cell r="B580">
            <v>936</v>
          </cell>
          <cell r="C580">
            <v>43139</v>
          </cell>
          <cell r="D580" t="str">
            <v>MARTHA LUCIA BERNAL ECHAVARRIA</v>
          </cell>
          <cell r="E580">
            <v>31</v>
          </cell>
          <cell r="F580" t="str">
            <v>RESOLUCION</v>
          </cell>
          <cell r="G580">
            <v>488</v>
          </cell>
          <cell r="H580">
            <v>43139</v>
          </cell>
          <cell r="I580" t="str">
            <v>AYUDA TEMPORAL A LAS FAMILIAS DE VARIAS LOCALIDADES, PARA RELOCALIZACIÓN DE HOGARES LOCALIZADOS EN ZONAS DE ALTO RIESGO NO MITIGABLE ID:2015-D227-00010, LOCALIDAD:04 SAN CRISTÓBAL, UPZ:51 LOS LIBERTADORES, SECTOR:SANTA TERESITA</v>
          </cell>
          <cell r="J580">
            <v>5361707</v>
          </cell>
          <cell r="K580">
            <v>0</v>
          </cell>
          <cell r="L580">
            <v>5361707</v>
          </cell>
          <cell r="M580">
            <v>1649756</v>
          </cell>
          <cell r="N580">
            <v>3711951</v>
          </cell>
        </row>
        <row r="581">
          <cell r="A581">
            <v>395</v>
          </cell>
          <cell r="B581">
            <v>937</v>
          </cell>
          <cell r="C581">
            <v>43139</v>
          </cell>
          <cell r="D581" t="str">
            <v>MYRIAM EDITH ALVAREZ DUARTE</v>
          </cell>
          <cell r="E581">
            <v>31</v>
          </cell>
          <cell r="F581" t="str">
            <v>RESOLUCION</v>
          </cell>
          <cell r="G581">
            <v>550</v>
          </cell>
          <cell r="H581">
            <v>43139</v>
          </cell>
          <cell r="I581" t="str">
            <v>AYUDA TEMPORAL A LAS FAMILIAS DE VARIAS LOCALIDADES, PARA RELOCALIZACIÓN DE HOGARES LOCALIZADOS EN ZONAS DE ALTO RIESGO NO MITIGABLE ID:2011-19-12558, LOCALIDAD:19 CIUDAD BOLÍVAR, UPZ:69 ISMAEL PERDOMO, SECTOR:OLA INVERNAL 2010 FOPAE</v>
          </cell>
          <cell r="J581">
            <v>2582006</v>
          </cell>
          <cell r="K581">
            <v>1844290</v>
          </cell>
          <cell r="L581">
            <v>737716</v>
          </cell>
          <cell r="M581">
            <v>737716</v>
          </cell>
          <cell r="N581">
            <v>0</v>
          </cell>
        </row>
        <row r="582">
          <cell r="A582">
            <v>395</v>
          </cell>
          <cell r="B582">
            <v>938</v>
          </cell>
          <cell r="C582">
            <v>43139</v>
          </cell>
          <cell r="D582" t="str">
            <v>LEYDI ALEJANDRA RUIZ GUTIERREZ</v>
          </cell>
          <cell r="E582">
            <v>31</v>
          </cell>
          <cell r="F582" t="str">
            <v>RESOLUCION</v>
          </cell>
          <cell r="G582">
            <v>551</v>
          </cell>
          <cell r="H582">
            <v>43139</v>
          </cell>
          <cell r="I582" t="str">
            <v>AYUDA TEMPORAL A LAS FAMILIAS DE VARIAS LOCALIDADES, PARA RELOCALIZACIÓN DE HOGARES LOCALIZADOS EN ZONAS DE ALTO RIESGO NO MITIGABLE ID:2014-OTR-00943, LOCALIDAD:19 CIUDAD BOLÍVAR, UPZ:67 LUCERO, SECTOR:TABOR ALTALOMA</v>
          </cell>
          <cell r="J582">
            <v>5603000</v>
          </cell>
          <cell r="K582">
            <v>0</v>
          </cell>
          <cell r="L582">
            <v>5603000</v>
          </cell>
          <cell r="M582">
            <v>1293000</v>
          </cell>
          <cell r="N582">
            <v>4310000</v>
          </cell>
        </row>
        <row r="583">
          <cell r="A583">
            <v>395</v>
          </cell>
          <cell r="B583">
            <v>939</v>
          </cell>
          <cell r="C583">
            <v>43139</v>
          </cell>
          <cell r="D583" t="str">
            <v>ZOILA YORANY QUIROGA HERNANDEZ</v>
          </cell>
          <cell r="E583">
            <v>31</v>
          </cell>
          <cell r="F583" t="str">
            <v>RESOLUCION</v>
          </cell>
          <cell r="G583">
            <v>489</v>
          </cell>
          <cell r="H583">
            <v>43139</v>
          </cell>
          <cell r="I583" t="str">
            <v>AYUDA TEMPORAL A LAS FAMILIAS DE VARIAS LOCALIDADES, PARA RELOCALIZACIÓN DE HOGARES LOCALIZADOS EN ZONAS DE ALTO RIESGO NO MITIGABLE ID:2012-18-14311, LOCALIDAD:18 RAFAEL URIBE URIBE, UPZ:55 DIANA TURBAY</v>
          </cell>
          <cell r="J583">
            <v>3769731</v>
          </cell>
          <cell r="K583">
            <v>0</v>
          </cell>
          <cell r="L583">
            <v>3769731</v>
          </cell>
          <cell r="M583">
            <v>2154132</v>
          </cell>
          <cell r="N583">
            <v>1615599</v>
          </cell>
        </row>
        <row r="584">
          <cell r="A584">
            <v>395</v>
          </cell>
          <cell r="B584">
            <v>940</v>
          </cell>
          <cell r="C584">
            <v>43139</v>
          </cell>
          <cell r="D584" t="str">
            <v>ANA LUCERO DIAZ DIAZ</v>
          </cell>
          <cell r="E584">
            <v>31</v>
          </cell>
          <cell r="F584" t="str">
            <v>RESOLUCION</v>
          </cell>
          <cell r="G584">
            <v>553</v>
          </cell>
          <cell r="H584">
            <v>43139</v>
          </cell>
          <cell r="I584" t="str">
            <v>AYUDA TEMPORAL A LAS FAMILIAS DE VARIAS LOCALIDADES, PARA RELOCALIZACIÓN DE HOGARES LOCALIZADOS EN ZONAS DE ALTO RIESGO NO MITIGABLE ID:2010-5-11581, LOCALIDAD:05 USME, UPZ:57 GRAN YOMASA, SECTOR:OLA INVERNAL 2010 FOPAE</v>
          </cell>
          <cell r="J584">
            <v>3299296</v>
          </cell>
          <cell r="K584">
            <v>0</v>
          </cell>
          <cell r="L584">
            <v>3299296</v>
          </cell>
          <cell r="M584">
            <v>1885312</v>
          </cell>
          <cell r="N584">
            <v>1413984</v>
          </cell>
        </row>
        <row r="585">
          <cell r="A585">
            <v>395</v>
          </cell>
          <cell r="B585">
            <v>941</v>
          </cell>
          <cell r="C585">
            <v>43139</v>
          </cell>
          <cell r="D585" t="str">
            <v>HECTOR GUILLERMO GOMEZ SALINAS</v>
          </cell>
          <cell r="E585">
            <v>31</v>
          </cell>
          <cell r="F585" t="str">
            <v>RESOLUCION</v>
          </cell>
          <cell r="G585">
            <v>490</v>
          </cell>
          <cell r="H585">
            <v>43139</v>
          </cell>
          <cell r="I585" t="str">
            <v>AYUDA TEMPORAL A LAS FAMILIAS DE VARIAS LOCALIDADES, PARA RELOCALIZACIÓN DE HOGARES LOCALIZADOS EN ZONAS DE ALTO RIESGO NO MITIGABLE ID:2013-Q05-00009, LOCALIDAD:19 CIUDAD BOLÍVAR, UPZ:67 LUCERO, SECTOR:QUEBRADA CAÑO BAÚL</v>
          </cell>
          <cell r="J585">
            <v>3363507</v>
          </cell>
          <cell r="K585">
            <v>0</v>
          </cell>
          <cell r="L585">
            <v>3363507</v>
          </cell>
          <cell r="M585">
            <v>1922004</v>
          </cell>
          <cell r="N585">
            <v>1441503</v>
          </cell>
        </row>
        <row r="586">
          <cell r="A586">
            <v>395</v>
          </cell>
          <cell r="B586">
            <v>942</v>
          </cell>
          <cell r="C586">
            <v>43139</v>
          </cell>
          <cell r="D586" t="str">
            <v>LUZ NEIDA BARRAGAN GARCIA</v>
          </cell>
          <cell r="E586">
            <v>31</v>
          </cell>
          <cell r="F586" t="str">
            <v>RESOLUCION</v>
          </cell>
          <cell r="G586">
            <v>554</v>
          </cell>
          <cell r="H586">
            <v>43139</v>
          </cell>
          <cell r="I586" t="str">
            <v>AYUDA TEMPORAL A LAS FAMILIAS DE VARIAS LOCALIDADES, PARA RELOCALIZACIÓN DE HOGARES LOCALIZADOS EN ZONAS DE ALTO RIESGO NO MITIGABLE ID:2016-08-14904, LOCALIDAD:08 KENNEDY, UPZ:82 PATIO BONITO, SECTOR:PALMITAS</v>
          </cell>
          <cell r="J586">
            <v>5466487</v>
          </cell>
          <cell r="K586">
            <v>0</v>
          </cell>
          <cell r="L586">
            <v>5466487</v>
          </cell>
          <cell r="M586">
            <v>1681996</v>
          </cell>
          <cell r="N586">
            <v>3784491</v>
          </cell>
        </row>
        <row r="587">
          <cell r="A587">
            <v>395</v>
          </cell>
          <cell r="B587">
            <v>943</v>
          </cell>
          <cell r="C587">
            <v>43139</v>
          </cell>
          <cell r="D587" t="str">
            <v>NELVA  CASTRO TRUJILLO</v>
          </cell>
          <cell r="E587">
            <v>31</v>
          </cell>
          <cell r="F587" t="str">
            <v>RESOLUCION</v>
          </cell>
          <cell r="G587">
            <v>555</v>
          </cell>
          <cell r="H587">
            <v>43139</v>
          </cell>
          <cell r="I587" t="str">
            <v>AYUDA TEMPORAL A LAS FAMILIAS DE VARIAS LOCALIDADES, PARA RELOCALIZACIÓN DE HOGARES LOCALIZADOS EN ZONAS DE ALTO RIESGO NO MITIGABLE ID:2016-08-14886, LOCALIDAD:08 KENNEDY, UPZ:82 PATIO BONITO, SECTOR:PALMITAS</v>
          </cell>
          <cell r="J587">
            <v>6453291</v>
          </cell>
          <cell r="K587">
            <v>0</v>
          </cell>
          <cell r="L587">
            <v>6453291</v>
          </cell>
          <cell r="M587">
            <v>1985628</v>
          </cell>
          <cell r="N587">
            <v>4467663</v>
          </cell>
        </row>
        <row r="588">
          <cell r="A588">
            <v>395</v>
          </cell>
          <cell r="B588">
            <v>944</v>
          </cell>
          <cell r="C588">
            <v>43139</v>
          </cell>
          <cell r="D588" t="str">
            <v>TANIA JAEL MEDINA</v>
          </cell>
          <cell r="E588">
            <v>31</v>
          </cell>
          <cell r="F588" t="str">
            <v>RESOLUCION</v>
          </cell>
          <cell r="G588">
            <v>556</v>
          </cell>
          <cell r="H588">
            <v>43139</v>
          </cell>
          <cell r="I588" t="str">
            <v>AYUDA TEMPORAL A LAS FAMILIAS DE VARIAS LOCALIDADES, PARA RELOCALIZACIÓN DE HOGARES LOCALIZADOS EN ZONAS DE ALTO RIESGO NO MITIGABLE ID:2005-19-7653, LOCALIDAD:19 CIUDAD BOLÍVAR, UPZ:67 LUCERO</v>
          </cell>
          <cell r="J588">
            <v>3473526</v>
          </cell>
          <cell r="K588">
            <v>0</v>
          </cell>
          <cell r="L588">
            <v>3473526</v>
          </cell>
          <cell r="M588">
            <v>1984872</v>
          </cell>
          <cell r="N588">
            <v>1488654</v>
          </cell>
        </row>
        <row r="589">
          <cell r="A589">
            <v>395</v>
          </cell>
          <cell r="B589">
            <v>945</v>
          </cell>
          <cell r="C589">
            <v>43139</v>
          </cell>
          <cell r="D589" t="str">
            <v>GRACIELA  RUIZ SEGURA</v>
          </cell>
          <cell r="E589">
            <v>31</v>
          </cell>
          <cell r="F589" t="str">
            <v>RESOLUCION</v>
          </cell>
          <cell r="G589">
            <v>491</v>
          </cell>
          <cell r="H589">
            <v>43139</v>
          </cell>
          <cell r="I589" t="str">
            <v>AYUDA TEMPORAL A LAS FAMILIAS DE VARIAS LOCALIDADES, PARA RELOCALIZACIÓN DE HOGARES LOCALIZADOS EN ZONAS DE ALTO RIESGO NO MITIGABLE ID:2009-5-11048, LOCALIDAD:05 USME, UPZ:57 GRAN YOMASA</v>
          </cell>
          <cell r="J589">
            <v>3383254</v>
          </cell>
          <cell r="K589">
            <v>0</v>
          </cell>
          <cell r="L589">
            <v>3383254</v>
          </cell>
          <cell r="M589">
            <v>1933288</v>
          </cell>
          <cell r="N589">
            <v>1449966</v>
          </cell>
        </row>
        <row r="590">
          <cell r="A590">
            <v>395</v>
          </cell>
          <cell r="B590">
            <v>946</v>
          </cell>
          <cell r="C590">
            <v>43139</v>
          </cell>
          <cell r="D590" t="str">
            <v>ANGELA MARIA RODRIGUEZ RUBIANO</v>
          </cell>
          <cell r="E590">
            <v>31</v>
          </cell>
          <cell r="F590" t="str">
            <v>RESOLUCION</v>
          </cell>
          <cell r="G590">
            <v>557</v>
          </cell>
          <cell r="H590">
            <v>43139</v>
          </cell>
          <cell r="I590" t="str">
            <v>AYUDA TEMPORAL A LAS FAMILIAS DE VARIAS LOCALIDADES, PARA RELOCALIZACIÓN DE HOGARES LOCALIZADOS EN ZONAS DE ALTO RIESGO NO MITIGABLE ID:2014-Q09-00805, LOCALIDAD:19 CIUDAD BOLÍVAR, UPZ:67 LUCERO, SECTOR:QUEBRADA TROMPETA</v>
          </cell>
          <cell r="J590">
            <v>3017000</v>
          </cell>
          <cell r="K590">
            <v>0</v>
          </cell>
          <cell r="L590">
            <v>3017000</v>
          </cell>
          <cell r="M590">
            <v>1724000</v>
          </cell>
          <cell r="N590">
            <v>1293000</v>
          </cell>
        </row>
        <row r="591">
          <cell r="A591">
            <v>395</v>
          </cell>
          <cell r="B591">
            <v>947</v>
          </cell>
          <cell r="C591">
            <v>43139</v>
          </cell>
          <cell r="D591" t="str">
            <v>GILMA  GIRALDO FLOREZ</v>
          </cell>
          <cell r="E591">
            <v>31</v>
          </cell>
          <cell r="F591" t="str">
            <v>RESOLUCION</v>
          </cell>
          <cell r="G591">
            <v>492</v>
          </cell>
          <cell r="H591">
            <v>43139</v>
          </cell>
          <cell r="I591" t="str">
            <v>AYUDA TEMPORAL A LAS FAMILIAS DE VARIAS LOCALIDADES, PARA RELOCALIZACIÓN DE HOGARES LOCALIZADOS EN ZONAS DE ALTO RIESGO NO MITIGABLE ID:2013-Q10-00199, LOCALIDAD:19 CIUDAD BOLÍVAR, UPZ:69 ISMAEL PERDOMO, SECTOR:ZANJÓN MURALLA</v>
          </cell>
          <cell r="J591">
            <v>5863585</v>
          </cell>
          <cell r="K591">
            <v>0</v>
          </cell>
          <cell r="L591">
            <v>5863585</v>
          </cell>
          <cell r="M591">
            <v>1804180</v>
          </cell>
          <cell r="N591">
            <v>4059405</v>
          </cell>
        </row>
        <row r="592">
          <cell r="A592">
            <v>395</v>
          </cell>
          <cell r="B592">
            <v>948</v>
          </cell>
          <cell r="C592">
            <v>43139</v>
          </cell>
          <cell r="D592" t="str">
            <v>LINA MARIA RIAZA CANO</v>
          </cell>
          <cell r="E592">
            <v>31</v>
          </cell>
          <cell r="F592" t="str">
            <v>RESOLUCION</v>
          </cell>
          <cell r="G592">
            <v>558</v>
          </cell>
          <cell r="H592">
            <v>43139</v>
          </cell>
          <cell r="I592" t="str">
            <v>AYUDA TEMPORAL A LAS FAMILIAS DE VARIAS LOCALIDADES, PARA RELOCALIZACIÓN DE HOGARES LOCALIZADOS EN ZONAS DE ALTO RIESGO NO MITIGABLE ID:2011-18-12426, LOCALIDAD:18 RAFAEL URIBE URIBE, UPZ:55 DIANA TURBAY, SECTOR:OLA INVERNAL 2010 FOPAE</v>
          </cell>
          <cell r="J592">
            <v>3374280</v>
          </cell>
          <cell r="K592">
            <v>0</v>
          </cell>
          <cell r="L592">
            <v>3374280</v>
          </cell>
          <cell r="M592">
            <v>1928160</v>
          </cell>
          <cell r="N592">
            <v>1446120</v>
          </cell>
        </row>
        <row r="593">
          <cell r="A593">
            <v>395</v>
          </cell>
          <cell r="B593">
            <v>949</v>
          </cell>
          <cell r="C593">
            <v>43139</v>
          </cell>
          <cell r="D593" t="str">
            <v>JERSON FABIAN RODRIGUEZ VELASQUEZ</v>
          </cell>
          <cell r="E593">
            <v>31</v>
          </cell>
          <cell r="F593" t="str">
            <v>RESOLUCION</v>
          </cell>
          <cell r="G593">
            <v>493</v>
          </cell>
          <cell r="H593">
            <v>43139</v>
          </cell>
          <cell r="I593" t="str">
            <v>AYUDA TEMPORAL A LAS FAMILIAS DE VARIAS LOCALIDADES, PARA RELOCALIZACIÓN DE HOGARES LOCALIZADOS EN ZONAS DE ALTO RIESGO NO MITIGABLE ID:2015-OTR-01368, LOCALIDAD:11 SUBA, UPZ:71 TIBABUYES, SECTOR:GAVILANES</v>
          </cell>
          <cell r="J593">
            <v>5946005</v>
          </cell>
          <cell r="K593">
            <v>0</v>
          </cell>
          <cell r="L593">
            <v>5946005</v>
          </cell>
          <cell r="M593">
            <v>1829540</v>
          </cell>
          <cell r="N593">
            <v>4116465</v>
          </cell>
        </row>
        <row r="594">
          <cell r="A594">
            <v>395</v>
          </cell>
          <cell r="B594">
            <v>950</v>
          </cell>
          <cell r="C594">
            <v>43139</v>
          </cell>
          <cell r="D594" t="str">
            <v>GEIDY MARCELA SAGANOME CABRERA</v>
          </cell>
          <cell r="E594">
            <v>31</v>
          </cell>
          <cell r="F594" t="str">
            <v>RESOLUCION</v>
          </cell>
          <cell r="G594">
            <v>507</v>
          </cell>
          <cell r="H594">
            <v>43139</v>
          </cell>
          <cell r="I594" t="str">
            <v>AYUDA TEMPORAL A LAS FAMILIAS DE VARIAS LOCALIDADES, PARA RELOCALIZACIÓN DE HOGARES LOCALIZADOS EN ZONAS DE ALTO RIESGO NO MITIGABLE ID:2014-OTR-01193, LOCALIDAD:11 SUBA, UPZ:71 TIBABUYES, SECTOR:GAVILANES</v>
          </cell>
          <cell r="J594">
            <v>2586000</v>
          </cell>
          <cell r="K594">
            <v>0</v>
          </cell>
          <cell r="L594">
            <v>2586000</v>
          </cell>
          <cell r="M594">
            <v>1293000</v>
          </cell>
          <cell r="N594">
            <v>1293000</v>
          </cell>
        </row>
        <row r="595">
          <cell r="A595">
            <v>395</v>
          </cell>
          <cell r="B595">
            <v>951</v>
          </cell>
          <cell r="C595">
            <v>43139</v>
          </cell>
          <cell r="D595" t="str">
            <v>LUZ MARITSA VALENCIA UYOKE</v>
          </cell>
          <cell r="E595">
            <v>31</v>
          </cell>
          <cell r="F595" t="str">
            <v>RESOLUCION</v>
          </cell>
          <cell r="G595">
            <v>494</v>
          </cell>
          <cell r="H595">
            <v>43139</v>
          </cell>
          <cell r="I595" t="str">
            <v>AYUDA TEMPORAL A LAS FAMILIAS DE VARIAS LOCALIDADES, PARA RELOCALIZACIÓN DE HOGARES LOCALIZADOS EN ZONAS DE ALTO RIESGO NO MITIGABLE ID:2015-W166-411, LOCALIDAD:04 SAN CRISTÓBAL, UPZ:32 SAN BLAS, SECTOR:UITOTO</v>
          </cell>
          <cell r="J595">
            <v>5947019</v>
          </cell>
          <cell r="K595">
            <v>0</v>
          </cell>
          <cell r="L595">
            <v>5947019</v>
          </cell>
          <cell r="M595">
            <v>1829852</v>
          </cell>
          <cell r="N595">
            <v>4117167</v>
          </cell>
        </row>
        <row r="596">
          <cell r="A596">
            <v>395</v>
          </cell>
          <cell r="B596">
            <v>952</v>
          </cell>
          <cell r="C596">
            <v>43139</v>
          </cell>
          <cell r="D596" t="str">
            <v>CLAUDIA PATRICIA POLOCHE</v>
          </cell>
          <cell r="E596">
            <v>31</v>
          </cell>
          <cell r="F596" t="str">
            <v>RESOLUCION</v>
          </cell>
          <cell r="G596">
            <v>559</v>
          </cell>
          <cell r="H596">
            <v>43139</v>
          </cell>
          <cell r="I596" t="str">
            <v>AYUDA TEMPORAL A LAS FAMILIAS DE VARIAS LOCALIDADES, PARA RELOCALIZACIÓN DE HOGARES LOCALIZADOS EN ZONAS DE ALTO RIESGO NO MITIGABLE ID:2010-4-11980, LOCALIDAD:04 SAN CRISTÓBAL, UPZ:32 SAN BLAS, SECTOR:OLA INVERNAL 2010 FOPAE</v>
          </cell>
          <cell r="J596">
            <v>2845920</v>
          </cell>
          <cell r="K596">
            <v>0</v>
          </cell>
          <cell r="L596">
            <v>2845920</v>
          </cell>
          <cell r="M596">
            <v>1626240</v>
          </cell>
          <cell r="N596">
            <v>1219680</v>
          </cell>
        </row>
        <row r="597">
          <cell r="A597">
            <v>395</v>
          </cell>
          <cell r="B597">
            <v>953</v>
          </cell>
          <cell r="C597">
            <v>43139</v>
          </cell>
          <cell r="D597" t="str">
            <v>CILVINA  RODRIGUEZ ROMERO</v>
          </cell>
          <cell r="E597">
            <v>31</v>
          </cell>
          <cell r="F597" t="str">
            <v>RESOLUCION</v>
          </cell>
          <cell r="G597">
            <v>495</v>
          </cell>
          <cell r="H597">
            <v>43139</v>
          </cell>
          <cell r="I597" t="str">
            <v>AYUDA TEMPORAL A LAS FAMILIAS DE VARIAS LOCALIDADES, PARA RELOCALIZACIÓN DE HOGARES LOCALIZADOS EN ZONAS DE ALTO RIESGO NO MITIGABLE ID:2011-4-12707, LOCALIDAD:04 SAN CRISTÓBAL, UPZ:32 SAN BLAS</v>
          </cell>
          <cell r="J597">
            <v>2977345</v>
          </cell>
          <cell r="K597">
            <v>0</v>
          </cell>
          <cell r="L597">
            <v>2977345</v>
          </cell>
          <cell r="M597">
            <v>1701340</v>
          </cell>
          <cell r="N597">
            <v>1276005</v>
          </cell>
        </row>
        <row r="598">
          <cell r="A598">
            <v>395</v>
          </cell>
          <cell r="B598">
            <v>954</v>
          </cell>
          <cell r="C598">
            <v>43139</v>
          </cell>
          <cell r="D598" t="str">
            <v>JUAN CARLOS PINILLA MONCADA</v>
          </cell>
          <cell r="E598">
            <v>31</v>
          </cell>
          <cell r="F598" t="str">
            <v>RESOLUCION</v>
          </cell>
          <cell r="G598">
            <v>560</v>
          </cell>
          <cell r="H598">
            <v>43139</v>
          </cell>
          <cell r="I598" t="str">
            <v>AYUDA TEMPORAL A LAS FAMILIAS DE VARIAS LOCALIDADES, PARA RELOCALIZACIÓN DE HOGARES LOCALIZADOS EN ZONAS DE ALTO RIESGO NO MITIGABLE ID:2011-4-12670, LOCALIDAD:04 SAN CRISTÓBAL, UPZ:32 SAN BLAS</v>
          </cell>
          <cell r="J598">
            <v>4986969</v>
          </cell>
          <cell r="K598">
            <v>0</v>
          </cell>
          <cell r="L598">
            <v>4986969</v>
          </cell>
          <cell r="M598">
            <v>1534452</v>
          </cell>
          <cell r="N598">
            <v>3452517</v>
          </cell>
        </row>
        <row r="599">
          <cell r="A599">
            <v>395</v>
          </cell>
          <cell r="B599">
            <v>955</v>
          </cell>
          <cell r="C599">
            <v>43139</v>
          </cell>
          <cell r="D599" t="str">
            <v>LILIANA MARCELA CADENA</v>
          </cell>
          <cell r="E599">
            <v>31</v>
          </cell>
          <cell r="F599" t="str">
            <v>RESOLUCION</v>
          </cell>
          <cell r="G599">
            <v>496</v>
          </cell>
          <cell r="H599">
            <v>43139</v>
          </cell>
          <cell r="I599" t="str">
            <v>AYUDA TEMPORAL A LAS FAMILIAS DE VARIAS LOCALIDADES, PARA RELOCALIZACIÓN DE HOGARES LOCALIZADOS EN ZONAS DE ALTO RIESGO NO MITIGABLE ID:2011-19-12742, LOCALIDAD:19 CIUDAD BOLÍVAR, UPZ:68 EL TESORO, SECTOR:QUEBRADA TROMPETA</v>
          </cell>
          <cell r="J599">
            <v>2924376</v>
          </cell>
          <cell r="K599">
            <v>0</v>
          </cell>
          <cell r="L599">
            <v>2924376</v>
          </cell>
          <cell r="M599">
            <v>1671072</v>
          </cell>
          <cell r="N599">
            <v>1253304</v>
          </cell>
        </row>
        <row r="600">
          <cell r="A600">
            <v>395</v>
          </cell>
          <cell r="B600">
            <v>956</v>
          </cell>
          <cell r="C600">
            <v>43139</v>
          </cell>
          <cell r="D600" t="str">
            <v>CARLOS JOSE DIMATE VILLARRAGA</v>
          </cell>
          <cell r="E600">
            <v>31</v>
          </cell>
          <cell r="F600" t="str">
            <v>RESOLUCION</v>
          </cell>
          <cell r="G600">
            <v>561</v>
          </cell>
          <cell r="H600">
            <v>43139</v>
          </cell>
          <cell r="I600" t="str">
            <v>AYUDA TEMPORAL A LAS FAMILIAS DE VARIAS LOCALIDADES, PARA RELOCALIZACIÓN DE HOGARES LOCALIZADOS EN ZONAS DE ALTO RIESGO NO MITIGABLE ID:2010-5-11555, LOCALIDAD:05 USME, UPZ:57 GRAN YOMASA, SECTOR:OLA INVERNAL 2010 FOPAE</v>
          </cell>
          <cell r="J600">
            <v>2924376</v>
          </cell>
          <cell r="K600">
            <v>0</v>
          </cell>
          <cell r="L600">
            <v>2924376</v>
          </cell>
          <cell r="M600">
            <v>1671072</v>
          </cell>
          <cell r="N600">
            <v>1253304</v>
          </cell>
        </row>
        <row r="601">
          <cell r="A601">
            <v>395</v>
          </cell>
          <cell r="B601">
            <v>957</v>
          </cell>
          <cell r="C601">
            <v>43139</v>
          </cell>
          <cell r="D601" t="str">
            <v>MARIA MARGARITA COMESAQUIRA RISCANEVO</v>
          </cell>
          <cell r="E601">
            <v>31</v>
          </cell>
          <cell r="F601" t="str">
            <v>RESOLUCION</v>
          </cell>
          <cell r="G601">
            <v>497</v>
          </cell>
          <cell r="H601">
            <v>43139</v>
          </cell>
          <cell r="I601" t="str">
            <v>AYUDA TEMPORAL A LAS FAMILIAS DE VARIAS LOCALIDADES, PARA RELOCALIZACIÓN DE HOGARES LOCALIZADOS EN ZONAS DE ALTO RIESGO NO MITIGABLE ID:2012-19-14152, LOCALIDAD:19 CIUDAD BOLÍVAR, UPZ:68 EL TESORO, SECTOR:QUEBRADA TROMPETA</v>
          </cell>
          <cell r="J601">
            <v>2582006</v>
          </cell>
          <cell r="K601">
            <v>0</v>
          </cell>
          <cell r="L601">
            <v>2582006</v>
          </cell>
          <cell r="M601">
            <v>1475432</v>
          </cell>
          <cell r="N601">
            <v>1106574</v>
          </cell>
        </row>
        <row r="602">
          <cell r="A602">
            <v>395</v>
          </cell>
          <cell r="B602">
            <v>958</v>
          </cell>
          <cell r="C602">
            <v>43139</v>
          </cell>
          <cell r="D602" t="str">
            <v>MARIA INES ISMARE PIRAZA</v>
          </cell>
          <cell r="E602">
            <v>31</v>
          </cell>
          <cell r="F602" t="str">
            <v>RESOLUCION</v>
          </cell>
          <cell r="G602">
            <v>498</v>
          </cell>
          <cell r="H602">
            <v>43139</v>
          </cell>
          <cell r="I602" t="str">
            <v>AYUDA TEMPORAL A LAS FAMILIAS DE VARIAS LOCALIDADES, PARA RELOCALIZACIÓN DE HOGARES LOCALIZADOS EN ZONAS DE ALTO RIESGO NO MITIGABLE ID:2014-W166-095, LOCALIDAD:19 CIUDAD BOLÍVAR, UPZ:68 EL TESORO, SECTOR:WOUNAAN</v>
          </cell>
          <cell r="J602">
            <v>6236100</v>
          </cell>
          <cell r="K602">
            <v>0</v>
          </cell>
          <cell r="L602">
            <v>6236100</v>
          </cell>
          <cell r="M602">
            <v>1918800</v>
          </cell>
          <cell r="N602">
            <v>4317300</v>
          </cell>
        </row>
        <row r="603">
          <cell r="A603">
            <v>395</v>
          </cell>
          <cell r="B603">
            <v>959</v>
          </cell>
          <cell r="C603">
            <v>43139</v>
          </cell>
          <cell r="D603" t="str">
            <v>ERSIN  MALAGA PIZARIO</v>
          </cell>
          <cell r="E603">
            <v>31</v>
          </cell>
          <cell r="F603" t="str">
            <v>RESOLUCION</v>
          </cell>
          <cell r="G603">
            <v>499</v>
          </cell>
          <cell r="H603">
            <v>43139</v>
          </cell>
          <cell r="I603" t="str">
            <v>AYUDA TEMPORAL A LAS FAMILIAS DE VARIAS LOCALIDADES, PARA RELOCALIZACIÓN DE HOGARES LOCALIZADOS EN ZONAS DE ALTO RIESGO NO MITIGABLE ID:2014-W166-056, LOCALIDAD:19 CIUDAD BOLÍVAR, UPZ:68 EL TESORO, SECTOR:WOUNAAN</v>
          </cell>
          <cell r="J603">
            <v>4795154</v>
          </cell>
          <cell r="K603">
            <v>0</v>
          </cell>
          <cell r="L603">
            <v>4795154</v>
          </cell>
          <cell r="M603">
            <v>1475432</v>
          </cell>
          <cell r="N603">
            <v>3319722</v>
          </cell>
        </row>
        <row r="604">
          <cell r="A604">
            <v>395</v>
          </cell>
          <cell r="B604">
            <v>960</v>
          </cell>
          <cell r="C604">
            <v>43139</v>
          </cell>
          <cell r="D604" t="str">
            <v>NANY  ISMARE PIRAZA</v>
          </cell>
          <cell r="E604">
            <v>31</v>
          </cell>
          <cell r="F604" t="str">
            <v>RESOLUCION</v>
          </cell>
          <cell r="G604">
            <v>500</v>
          </cell>
          <cell r="H604">
            <v>43139</v>
          </cell>
          <cell r="I604" t="str">
            <v>AYUDA TEMPORAL A LAS FAMILIAS DE VARIAS LOCALIDADES, PARA RELOCALIZACIÓN DE HOGARES LOCALIZADOS EN ZONAS DE ALTO RIESGO NO MITIGABLE ID:2014-W166-104, LOCALIDAD:19 CIUDAD BOLÍVAR, UPZ:67 LUCERO, SECTOR:WOUNAAN</v>
          </cell>
          <cell r="J604">
            <v>5528393</v>
          </cell>
          <cell r="K604">
            <v>0</v>
          </cell>
          <cell r="L604">
            <v>5528393</v>
          </cell>
          <cell r="M604">
            <v>1701044</v>
          </cell>
          <cell r="N604">
            <v>3827349</v>
          </cell>
        </row>
        <row r="605">
          <cell r="A605">
            <v>395</v>
          </cell>
          <cell r="B605">
            <v>961</v>
          </cell>
          <cell r="C605">
            <v>43139</v>
          </cell>
          <cell r="D605" t="str">
            <v>NELSY  CHOCHO MEMBACHE</v>
          </cell>
          <cell r="E605">
            <v>31</v>
          </cell>
          <cell r="F605" t="str">
            <v>RESOLUCION</v>
          </cell>
          <cell r="G605">
            <v>508</v>
          </cell>
          <cell r="H605">
            <v>43139</v>
          </cell>
          <cell r="I605" t="str">
            <v>AYUDA TEMPORAL A LAS FAMILIAS DE VARIAS LOCALIDADES, PARA RELOCALIZACIÓN DE HOGARES LOCALIZADOS EN ZONAS DE ALTO RIESGO NO MITIGABLE ID:2015-W166-435, LOCALIDAD:19 CIUDAD BOLÍVAR, UPZ:67 LUCERO, SECTOR:WOUNAAN</v>
          </cell>
          <cell r="J605">
            <v>5947019</v>
          </cell>
          <cell r="K605">
            <v>0</v>
          </cell>
          <cell r="L605">
            <v>5947019</v>
          </cell>
          <cell r="M605">
            <v>1829852</v>
          </cell>
          <cell r="N605">
            <v>4117167</v>
          </cell>
        </row>
        <row r="606">
          <cell r="A606">
            <v>395</v>
          </cell>
          <cell r="B606">
            <v>962</v>
          </cell>
          <cell r="C606">
            <v>43139</v>
          </cell>
          <cell r="D606" t="str">
            <v>ANA DOLORES BERNAL DE OÑATE</v>
          </cell>
          <cell r="E606">
            <v>31</v>
          </cell>
          <cell r="F606" t="str">
            <v>RESOLUCION</v>
          </cell>
          <cell r="G606">
            <v>562</v>
          </cell>
          <cell r="H606">
            <v>43139</v>
          </cell>
          <cell r="I606" t="str">
            <v>AYUDA TEMPORAL A LAS FAMILIAS DE VARIAS LOCALIDADES, PARA RELOCALIZACIÓN DE HOGARES LOCALIZADOS EN ZONAS DE ALTO RIESGO NO MITIGABLE ID:2011-4-13161, LOCALIDAD:04 SAN CRISTÓBAL, UPZ:34 20 DE JULIO</v>
          </cell>
          <cell r="J606">
            <v>3041416</v>
          </cell>
          <cell r="K606">
            <v>0</v>
          </cell>
          <cell r="L606">
            <v>3041416</v>
          </cell>
          <cell r="M606">
            <v>760354</v>
          </cell>
          <cell r="N606">
            <v>2281062</v>
          </cell>
        </row>
        <row r="607">
          <cell r="A607">
            <v>395</v>
          </cell>
          <cell r="B607">
            <v>963</v>
          </cell>
          <cell r="C607">
            <v>43139</v>
          </cell>
          <cell r="D607" t="str">
            <v>RODOLFO  CHIRIMIA MERCAZA</v>
          </cell>
          <cell r="E607">
            <v>31</v>
          </cell>
          <cell r="F607" t="str">
            <v>RESOLUCION</v>
          </cell>
          <cell r="G607">
            <v>501</v>
          </cell>
          <cell r="H607">
            <v>43139</v>
          </cell>
          <cell r="I607" t="str">
            <v>AYUDA TEMPORAL A LAS FAMILIAS DE VARIAS LOCALIDADES, PARA RELOCALIZACIÓN DE HOGARES LOCALIZADOS EN ZONAS DE ALTO RIESGO NO MITIGABLE ID:2014-W166-011, LOCALIDAD:19 CIUDAD BOLÍVAR, UPZ:68 EL TESORO, SECTOR:WOUNAAN</v>
          </cell>
          <cell r="J607">
            <v>5285280</v>
          </cell>
          <cell r="K607">
            <v>0</v>
          </cell>
          <cell r="L607">
            <v>5285280</v>
          </cell>
          <cell r="M607">
            <v>1626240</v>
          </cell>
          <cell r="N607">
            <v>3659040</v>
          </cell>
        </row>
        <row r="608">
          <cell r="A608">
            <v>395</v>
          </cell>
          <cell r="B608">
            <v>964</v>
          </cell>
          <cell r="C608">
            <v>43139</v>
          </cell>
          <cell r="D608" t="str">
            <v>SANDRA MILENA SANCHEZ RODRIGUEZ</v>
          </cell>
          <cell r="E608">
            <v>31</v>
          </cell>
          <cell r="F608" t="str">
            <v>RESOLUCION</v>
          </cell>
          <cell r="G608">
            <v>563</v>
          </cell>
          <cell r="H608">
            <v>43139</v>
          </cell>
          <cell r="I608" t="str">
            <v>AYUDA TEMPORAL A LAS FAMILIAS DE VARIAS LOCALIDADES, PARA RELOCALIZACIÓN DE HOGARES LOCALIZADOS EN ZONAS DE ALTO RIESGO NO MITIGABLE ID:2007-18-10201, LOCALIDAD:18 RAFAEL URIBE URIBE, UPZ:55 DIANA TURBAY</v>
          </cell>
          <cell r="J608">
            <v>6233708</v>
          </cell>
          <cell r="K608">
            <v>0</v>
          </cell>
          <cell r="L608">
            <v>6233708</v>
          </cell>
          <cell r="M608">
            <v>1918064</v>
          </cell>
          <cell r="N608">
            <v>4315644</v>
          </cell>
        </row>
        <row r="609">
          <cell r="A609">
            <v>395</v>
          </cell>
          <cell r="B609">
            <v>965</v>
          </cell>
          <cell r="C609">
            <v>43139</v>
          </cell>
          <cell r="D609" t="str">
            <v>SONIA PATRICIA PINILLA</v>
          </cell>
          <cell r="E609">
            <v>31</v>
          </cell>
          <cell r="F609" t="str">
            <v>RESOLUCION</v>
          </cell>
          <cell r="G609">
            <v>502</v>
          </cell>
          <cell r="H609">
            <v>43139</v>
          </cell>
          <cell r="I609" t="str">
            <v>AYUDA TEMPORAL A LAS FAMILIAS DE VARIAS LOCALIDADES, PARA RELOCALIZACIÓN DE HOGARES LOCALIZADOS EN ZONAS DE ALTO RIESGO NO MITIGABLE ID:2016-08-14790, LOCALIDAD:08 KENNEDY, UPZ:82 PATIO BONITO, SECTOR:PALMITAS</v>
          </cell>
          <cell r="J609">
            <v>6713226</v>
          </cell>
          <cell r="K609">
            <v>0</v>
          </cell>
          <cell r="L609">
            <v>6713226</v>
          </cell>
          <cell r="M609">
            <v>2065608</v>
          </cell>
          <cell r="N609">
            <v>4647618</v>
          </cell>
        </row>
        <row r="610">
          <cell r="A610">
            <v>395</v>
          </cell>
          <cell r="B610">
            <v>966</v>
          </cell>
          <cell r="C610">
            <v>43139</v>
          </cell>
          <cell r="D610" t="str">
            <v>YAMILE HELENA PEREZ LIZARAZO</v>
          </cell>
          <cell r="E610">
            <v>31</v>
          </cell>
          <cell r="F610" t="str">
            <v>RESOLUCION</v>
          </cell>
          <cell r="G610">
            <v>509</v>
          </cell>
          <cell r="H610">
            <v>43139</v>
          </cell>
          <cell r="I610" t="str">
            <v>AYUDA TEMPORAL A LAS FAMILIAS DE VARIAS LOCALIDADES, PARA RELOCALIZACIÓN DE HOGARES LOCALIZADOS EN ZONAS DE ALTO RIESGO NO MITIGABLE ID:2012-ALES-465, LOCALIDAD:19 CIUDAD BOLÍVAR, UPZ:69 ISMAEL PERDOMO, SECTOR:ALTOS DE LA ESTANCIA</v>
          </cell>
          <cell r="J610">
            <v>3788778</v>
          </cell>
          <cell r="K610">
            <v>0</v>
          </cell>
          <cell r="L610">
            <v>3788778</v>
          </cell>
          <cell r="M610">
            <v>2165016</v>
          </cell>
          <cell r="N610">
            <v>1623762</v>
          </cell>
        </row>
        <row r="611">
          <cell r="A611">
            <v>395</v>
          </cell>
          <cell r="B611">
            <v>967</v>
          </cell>
          <cell r="C611">
            <v>43139</v>
          </cell>
          <cell r="D611" t="str">
            <v>NOHORA LIGIA LONDOÑO RINCON</v>
          </cell>
          <cell r="E611">
            <v>31</v>
          </cell>
          <cell r="F611" t="str">
            <v>RESOLUCION</v>
          </cell>
          <cell r="G611">
            <v>503</v>
          </cell>
          <cell r="H611">
            <v>43139</v>
          </cell>
          <cell r="I611" t="str">
            <v>AYUDA TEMPORAL A LAS FAMILIAS DE VARIAS LOCALIDADES, PARA RELOCALIZACIÓN DE HOGARES LOCALIZADOS EN ZONAS DE ALTO RIESGO NO MITIGABLE ID:2012-19-14388, LOCALIDAD:19 CIUDAD BOLÍVAR, UPZ:68 EL TESORO</v>
          </cell>
          <cell r="J611">
            <v>3136140</v>
          </cell>
          <cell r="K611">
            <v>0</v>
          </cell>
          <cell r="L611">
            <v>3136140</v>
          </cell>
          <cell r="M611">
            <v>1792080</v>
          </cell>
          <cell r="N611">
            <v>1344060</v>
          </cell>
        </row>
        <row r="612">
          <cell r="A612">
            <v>395</v>
          </cell>
          <cell r="B612">
            <v>968</v>
          </cell>
          <cell r="C612">
            <v>43139</v>
          </cell>
          <cell r="D612" t="str">
            <v>CLEMENTINA  CORDOBA TOQUICA</v>
          </cell>
          <cell r="E612">
            <v>31</v>
          </cell>
          <cell r="F612" t="str">
            <v>RESOLUCION</v>
          </cell>
          <cell r="G612">
            <v>564</v>
          </cell>
          <cell r="H612">
            <v>43139</v>
          </cell>
          <cell r="I612" t="str">
            <v>AYUDA TEMPORAL A LAS FAMILIAS DE VARIAS LOCALIDADES, PARA RELOCALIZACIÓN DE HOGARES LOCALIZADOS EN ZONAS DE ALTO RIESGO NO MITIGABLE ID:2013-Q21-00597, LOCALIDAD:19 CIUDAD BOLÍVAR, UPZ:67 LUCERO, SECTOR:BRAZO DERECHO DE LIMAS</v>
          </cell>
          <cell r="J612">
            <v>3017000</v>
          </cell>
          <cell r="K612">
            <v>0</v>
          </cell>
          <cell r="L612">
            <v>3017000</v>
          </cell>
          <cell r="M612">
            <v>1724000</v>
          </cell>
          <cell r="N612">
            <v>1293000</v>
          </cell>
        </row>
        <row r="613">
          <cell r="A613">
            <v>395</v>
          </cell>
          <cell r="B613">
            <v>969</v>
          </cell>
          <cell r="C613">
            <v>43139</v>
          </cell>
          <cell r="D613" t="str">
            <v>FELICIANO  QUINTERO CHIRIPUA</v>
          </cell>
          <cell r="E613">
            <v>31</v>
          </cell>
          <cell r="F613" t="str">
            <v>RESOLUCION</v>
          </cell>
          <cell r="G613">
            <v>504</v>
          </cell>
          <cell r="H613">
            <v>43139</v>
          </cell>
          <cell r="I613" t="str">
            <v>AYUDA TEMPORAL A LAS FAMILIAS DE VARIAS LOCALIDADES, PARA RELOCALIZACIÓN DE HOGARES LOCALIZADOS EN ZONAS DE ALTO RIESGO NO MITIGABLE ID:2015-W166-425, LOCALIDAD:19 CIUDAD BOLÍVAR, UPZ:68 EL TESORO, SECTOR:WOUNAAN</v>
          </cell>
          <cell r="J613">
            <v>7036432</v>
          </cell>
          <cell r="K613">
            <v>0</v>
          </cell>
          <cell r="L613">
            <v>7036432</v>
          </cell>
          <cell r="M613">
            <v>2165056</v>
          </cell>
          <cell r="N613">
            <v>4871376</v>
          </cell>
        </row>
        <row r="614">
          <cell r="A614">
            <v>395</v>
          </cell>
          <cell r="B614">
            <v>970</v>
          </cell>
          <cell r="C614">
            <v>43139</v>
          </cell>
          <cell r="D614" t="str">
            <v>MARIA GUADALUPE PULIDO GONZALEZ</v>
          </cell>
          <cell r="E614">
            <v>31</v>
          </cell>
          <cell r="F614" t="str">
            <v>RESOLUCION</v>
          </cell>
          <cell r="G614">
            <v>505</v>
          </cell>
          <cell r="H614">
            <v>43139</v>
          </cell>
          <cell r="I614" t="str">
            <v>AYUDA TEMPORAL A LAS FAMILIAS DE VARIAS LOCALIDADES, PARA RELOCALIZACIÓN DE HOGARES LOCALIZADOS EN ZONAS DE ALTO RIESGO NO MITIGABLE ID:2015-OTR-01363, LOCALIDAD:19 CIUDAD BOLÍVAR, UPZ:67 LUCERO, SECTOR:TABOR ALTALOMA</v>
          </cell>
          <cell r="J614">
            <v>4647615</v>
          </cell>
          <cell r="K614">
            <v>0</v>
          </cell>
          <cell r="L614">
            <v>4647615</v>
          </cell>
          <cell r="M614">
            <v>2655780</v>
          </cell>
          <cell r="N614">
            <v>1991835</v>
          </cell>
        </row>
        <row r="615">
          <cell r="A615">
            <v>395</v>
          </cell>
          <cell r="B615">
            <v>971</v>
          </cell>
          <cell r="C615">
            <v>43139</v>
          </cell>
          <cell r="D615" t="str">
            <v>MARIA KATHERINE GARCIA DEAZA</v>
          </cell>
          <cell r="E615">
            <v>31</v>
          </cell>
          <cell r="F615" t="str">
            <v>RESOLUCION</v>
          </cell>
          <cell r="G615">
            <v>506</v>
          </cell>
          <cell r="H615">
            <v>43139</v>
          </cell>
          <cell r="I615" t="str">
            <v>AYUDA TEMPORAL A LAS FAMILIAS DE VARIAS LOCALIDADES, PARA RELOCALIZACIÓN DE HOGARES LOCALIZADOS EN ZONAS DE ALTO RIESGO NO MITIGABLE ID:2016-08-14806, LOCALIDAD:08 KENNEDY, UPZ:82 PATIO BONITO, SECTOR:PALMITAS</v>
          </cell>
          <cell r="J615">
            <v>5754190</v>
          </cell>
          <cell r="K615">
            <v>0</v>
          </cell>
          <cell r="L615">
            <v>5754190</v>
          </cell>
          <cell r="M615">
            <v>1770520</v>
          </cell>
          <cell r="N615">
            <v>3983670</v>
          </cell>
        </row>
        <row r="616">
          <cell r="A616">
            <v>395</v>
          </cell>
          <cell r="B616">
            <v>972</v>
          </cell>
          <cell r="C616">
            <v>43139</v>
          </cell>
          <cell r="D616" t="str">
            <v>FLOR DABEIBA POSADA BEDOYA</v>
          </cell>
          <cell r="E616">
            <v>31</v>
          </cell>
          <cell r="F616" t="str">
            <v>RESOLUCION</v>
          </cell>
          <cell r="G616">
            <v>510</v>
          </cell>
          <cell r="H616">
            <v>43139</v>
          </cell>
          <cell r="I616" t="str">
            <v>AYUDA TEMPORAL A LAS FAMILIAS DE VARIAS LOCALIDADES, PARA RELOCALIZACIÓN DE HOGARES LOCALIZADOS EN ZONAS DE ALTO RIESGO NO MITIGABLE ID:2016-08-14908, LOCALIDAD:08 KENNEDY, UPZ:82 PATIO BONITO, SECTOR:PALMITAS</v>
          </cell>
          <cell r="J616">
            <v>5178690</v>
          </cell>
          <cell r="K616">
            <v>0</v>
          </cell>
          <cell r="L616">
            <v>5178690</v>
          </cell>
          <cell r="M616">
            <v>2301640</v>
          </cell>
          <cell r="N616">
            <v>2877050</v>
          </cell>
        </row>
        <row r="617">
          <cell r="A617">
            <v>395</v>
          </cell>
          <cell r="B617">
            <v>973</v>
          </cell>
          <cell r="C617">
            <v>43139</v>
          </cell>
          <cell r="D617" t="str">
            <v>HECTOR  DE LA CRUZ MONCAYO</v>
          </cell>
          <cell r="E617">
            <v>31</v>
          </cell>
          <cell r="F617" t="str">
            <v>RESOLUCION</v>
          </cell>
          <cell r="G617">
            <v>511</v>
          </cell>
          <cell r="H617">
            <v>43139</v>
          </cell>
          <cell r="I617" t="str">
            <v>AAYUDA TEMPORAL A LAS FAMILIAS DE VARIAS LOCALIDADES, PARA RELOCALIZACIÓN DE HOGARES LOCALIZADOS EN ZONAS DE ALTO RIESGO NO MITIGABLE ID:2015-D227-00058, LOCALIDAD:04 SAN CRISTÓBAL, UPZ:51 LOS LIBERTADORES, SECTOR:SANTA TERESITA</v>
          </cell>
          <cell r="J617">
            <v>4774653</v>
          </cell>
          <cell r="K617">
            <v>0</v>
          </cell>
          <cell r="L617">
            <v>4774653</v>
          </cell>
          <cell r="M617">
            <v>1469124</v>
          </cell>
          <cell r="N617">
            <v>3305529</v>
          </cell>
        </row>
        <row r="618">
          <cell r="A618">
            <v>395</v>
          </cell>
          <cell r="B618">
            <v>974</v>
          </cell>
          <cell r="C618">
            <v>43139</v>
          </cell>
          <cell r="D618" t="str">
            <v>WILMER  PIRAZA CARPIO</v>
          </cell>
          <cell r="E618">
            <v>31</v>
          </cell>
          <cell r="F618" t="str">
            <v>RESOLUCION</v>
          </cell>
          <cell r="G618">
            <v>585</v>
          </cell>
          <cell r="H618">
            <v>43139</v>
          </cell>
          <cell r="I618" t="str">
            <v>AYUDA TEMPORAL A LAS FAMILIAS DE VARIAS LOCALIDADES, PARA RELOCALIZACIÓN DE HOGARES LOCALIZADOS EN ZONAS DE ALTO RIESGO NO MITIGABLE ID:2014-W166-033, LOCALIDAD:19 CIUDAD BOLÍVAR, UPZ:67 LUCERO, SECTOR:WOUNAAN</v>
          </cell>
          <cell r="J618">
            <v>5285280</v>
          </cell>
          <cell r="K618">
            <v>0</v>
          </cell>
          <cell r="L618">
            <v>5285280</v>
          </cell>
          <cell r="M618">
            <v>1626240</v>
          </cell>
          <cell r="N618">
            <v>3659040</v>
          </cell>
        </row>
        <row r="619">
          <cell r="A619">
            <v>395</v>
          </cell>
          <cell r="B619">
            <v>975</v>
          </cell>
          <cell r="C619">
            <v>43139</v>
          </cell>
          <cell r="D619" t="str">
            <v>RUFINA  PAEZ MONTAÑA</v>
          </cell>
          <cell r="E619">
            <v>31</v>
          </cell>
          <cell r="F619" t="str">
            <v>RESOLUCION</v>
          </cell>
          <cell r="G619">
            <v>586</v>
          </cell>
          <cell r="H619">
            <v>43139</v>
          </cell>
          <cell r="I619" t="str">
            <v>AYUDA TEMPORAL A LAS FAMILIAS DE VARIAS LOCALIDADES, PARA RELOCALIZACIÓN DE HOGARES LOCALIZADOS EN ZONAS DE ALTO RIESGO NO MITIGABLE ID:2011-19-12511, LOCALIDAD:19 CIUDAD BOLÍVAR, UPZ:69 ISMAEL PERDOMO, SECTOR:OLA INVERNAL 2010 FOPAE</v>
          </cell>
          <cell r="J619">
            <v>2723490</v>
          </cell>
          <cell r="K619">
            <v>0</v>
          </cell>
          <cell r="L619">
            <v>2723490</v>
          </cell>
          <cell r="M619">
            <v>1556280</v>
          </cell>
          <cell r="N619">
            <v>1167210</v>
          </cell>
        </row>
        <row r="620">
          <cell r="A620">
            <v>395</v>
          </cell>
          <cell r="B620">
            <v>976</v>
          </cell>
          <cell r="C620">
            <v>43139</v>
          </cell>
          <cell r="D620" t="str">
            <v>SANDRA JASDIBY VILLEGAS CASTRILLON</v>
          </cell>
          <cell r="E620">
            <v>31</v>
          </cell>
          <cell r="F620" t="str">
            <v>RESOLUCION</v>
          </cell>
          <cell r="G620">
            <v>587</v>
          </cell>
          <cell r="H620">
            <v>43139</v>
          </cell>
          <cell r="I620" t="str">
            <v>AYUDA TEMPORAL A LAS FAMILIAS DE VARIAS LOCALIDADES, PARA RELOCALIZACIÓN DE HOGARES LOCALIZADOS EN ZONAS DE ALTO RIESGO NO MITIGABLE ID:2012-19-13798, LOCALIDAD:19 CIUDAD BOLÍVAR, UPZ:67 LUCERO</v>
          </cell>
          <cell r="J620">
            <v>5430984</v>
          </cell>
          <cell r="K620">
            <v>0</v>
          </cell>
          <cell r="L620">
            <v>5430984</v>
          </cell>
          <cell r="M620">
            <v>1671072</v>
          </cell>
          <cell r="N620">
            <v>3759912</v>
          </cell>
        </row>
        <row r="621">
          <cell r="A621">
            <v>395</v>
          </cell>
          <cell r="B621">
            <v>977</v>
          </cell>
          <cell r="C621">
            <v>43140</v>
          </cell>
          <cell r="D621" t="str">
            <v>ANGELA PATRICIA GARZON VARGAS</v>
          </cell>
          <cell r="E621">
            <v>31</v>
          </cell>
          <cell r="F621" t="str">
            <v>RESOLUCION</v>
          </cell>
          <cell r="G621">
            <v>565</v>
          </cell>
          <cell r="H621">
            <v>43140</v>
          </cell>
          <cell r="I621" t="str">
            <v>AYUDA TEMPORAL A LAS FAMILIAS DE VARIAS LOCALIDADES, PARA RELOCALIZACIÓN DE HOGARES LOCALIZADOS EN ZONAS DE ALTO RIESGO NO MITIGABLE ID:2014-4-14692, LOCALIDAD:04 SAN CRISTÓBAL, UPZ:32 SAN BLAS</v>
          </cell>
          <cell r="J621">
            <v>5603000</v>
          </cell>
          <cell r="K621">
            <v>0</v>
          </cell>
          <cell r="L621">
            <v>5603000</v>
          </cell>
          <cell r="M621">
            <v>1724000</v>
          </cell>
          <cell r="N621">
            <v>3879000</v>
          </cell>
        </row>
        <row r="622">
          <cell r="A622">
            <v>395</v>
          </cell>
          <cell r="B622">
            <v>978</v>
          </cell>
          <cell r="C622">
            <v>43140</v>
          </cell>
          <cell r="D622" t="str">
            <v>BLANCA NIEVES GOMEZ PEDRAZA</v>
          </cell>
          <cell r="E622">
            <v>31</v>
          </cell>
          <cell r="F622" t="str">
            <v>RESOLUCION</v>
          </cell>
          <cell r="G622">
            <v>566</v>
          </cell>
          <cell r="H622">
            <v>43140</v>
          </cell>
          <cell r="I622" t="str">
            <v>AYUDA TEMPORAL A LAS FAMILIAS DE VARIAS LOCALIDADES, PARA RELOCALIZACIÓN DE HOGARES LOCALIZADOS EN ZONAS DE ALTO RIESGO NO MITIGABLE ID:2010-19-12181, LOCALIDAD:19 CIUDAD BOLÍVAR, UPZ:67 LUCERO, SECTOR:OLA INVERNAL 2010 FOPAE</v>
          </cell>
          <cell r="J622">
            <v>5612893</v>
          </cell>
          <cell r="K622">
            <v>0</v>
          </cell>
          <cell r="L622">
            <v>5612893</v>
          </cell>
          <cell r="M622">
            <v>1727044</v>
          </cell>
          <cell r="N622">
            <v>3885849</v>
          </cell>
        </row>
        <row r="623">
          <cell r="A623">
            <v>395</v>
          </cell>
          <cell r="B623">
            <v>979</v>
          </cell>
          <cell r="C623">
            <v>43140</v>
          </cell>
          <cell r="D623" t="str">
            <v>ANGELA  GARZON ROA</v>
          </cell>
          <cell r="E623">
            <v>31</v>
          </cell>
          <cell r="F623" t="str">
            <v>RESOLUCION</v>
          </cell>
          <cell r="G623">
            <v>567</v>
          </cell>
          <cell r="H623">
            <v>43140</v>
          </cell>
          <cell r="I623" t="str">
            <v>AYUDA TEMPORAL A LAS FAMILIAS DE VARIAS LOCALIDADES, PARA RELOCALIZACIÓN DE HOGARES LOCALIZADOS EN ZONAS DE ALTO RIESGO NO MITIGABLE ID:2013000262, LOCALIDAD:04 SAN CRISTÓBAL, UPZ:51 LOS LIBERTADORES, SECTOR:QUEBRADA VEREJONES</v>
          </cell>
          <cell r="J623">
            <v>5031235</v>
          </cell>
          <cell r="K623">
            <v>0</v>
          </cell>
          <cell r="L623">
            <v>5031235</v>
          </cell>
          <cell r="M623">
            <v>1829540</v>
          </cell>
          <cell r="N623">
            <v>3201695</v>
          </cell>
        </row>
        <row r="624">
          <cell r="A624">
            <v>395</v>
          </cell>
          <cell r="B624">
            <v>980</v>
          </cell>
          <cell r="C624">
            <v>43140</v>
          </cell>
          <cell r="D624" t="str">
            <v>NELIDA MARTHA CASTILLO HERNANDEZ</v>
          </cell>
          <cell r="E624">
            <v>31</v>
          </cell>
          <cell r="F624" t="str">
            <v>RESOLUCION</v>
          </cell>
          <cell r="G624">
            <v>568</v>
          </cell>
          <cell r="H624">
            <v>43140</v>
          </cell>
          <cell r="I624" t="str">
            <v>AYUDA TEMPORAL A LAS FAMILIAS DE VARIAS LOCALIDADES, PARA RELOCALIZACIÓN DE HOGARES LOCALIZADOS EN ZONAS DE ALTO RIESGO NO MITIGABLE ID:2011-18-12496, LOCALIDAD:18 RAFAEL URIBE URIBE, UPZ:53 MARCO FIDEL SUÁREZ, SECTOR:OLA INVERNAL 2010 FOPAE</v>
          </cell>
          <cell r="J624">
            <v>3100419</v>
          </cell>
          <cell r="K624">
            <v>0</v>
          </cell>
          <cell r="L624">
            <v>3100419</v>
          </cell>
          <cell r="M624">
            <v>1771668</v>
          </cell>
          <cell r="N624">
            <v>1328751</v>
          </cell>
        </row>
        <row r="625">
          <cell r="A625">
            <v>395</v>
          </cell>
          <cell r="B625">
            <v>981</v>
          </cell>
          <cell r="C625">
            <v>43140</v>
          </cell>
          <cell r="D625" t="str">
            <v>JOSE ARTURO REINA SALGADO</v>
          </cell>
          <cell r="E625">
            <v>31</v>
          </cell>
          <cell r="F625" t="str">
            <v>RESOLUCION</v>
          </cell>
          <cell r="G625">
            <v>569</v>
          </cell>
          <cell r="H625">
            <v>43140</v>
          </cell>
          <cell r="I625" t="str">
            <v>AYUDA TEMPORAL A LAS FAMILIAS DE VARIAS LOCALIDADES, PARA RELOCALIZACIÓN DE HOGARES LOCALIZADOS EN ZONAS DE ALTO RIESGO NO MITIGABLE ID:2007-4-9377, LOCALIDAD:04 SAN CRISTÓBAL, UPZ:32 SAN BLAS</v>
          </cell>
          <cell r="J625">
            <v>5222100</v>
          </cell>
          <cell r="K625">
            <v>0</v>
          </cell>
          <cell r="L625">
            <v>5222100</v>
          </cell>
          <cell r="M625">
            <v>1606800</v>
          </cell>
          <cell r="N625">
            <v>3615300</v>
          </cell>
        </row>
        <row r="626">
          <cell r="A626">
            <v>395</v>
          </cell>
          <cell r="B626">
            <v>982</v>
          </cell>
          <cell r="C626">
            <v>43140</v>
          </cell>
          <cell r="D626" t="str">
            <v>MIGUEL ARCESIO CANIZALES MERCADO</v>
          </cell>
          <cell r="E626">
            <v>31</v>
          </cell>
          <cell r="F626" t="str">
            <v>RESOLUCION</v>
          </cell>
          <cell r="G626">
            <v>570</v>
          </cell>
          <cell r="H626">
            <v>43140</v>
          </cell>
          <cell r="I626" t="str">
            <v>AYUDA TEMPORAL A LAS FAMILIAS DE VARIAS LOCALIDADES, PARA RELOCALIZACIÓN DE HOGARES LOCALIZADOS EN ZONAS DE ALTO RIESGO NO MITIGABLE ID:2016-08-14770, LOCALIDAD:08 KENNEDY, UPZ:82 PATIO BONITO, SECTOR:PALMITAS</v>
          </cell>
          <cell r="J626">
            <v>6713226</v>
          </cell>
          <cell r="K626">
            <v>0</v>
          </cell>
          <cell r="L626">
            <v>6713226</v>
          </cell>
          <cell r="M626">
            <v>2065608</v>
          </cell>
          <cell r="N626">
            <v>4647618</v>
          </cell>
        </row>
        <row r="627">
          <cell r="A627">
            <v>395</v>
          </cell>
          <cell r="B627">
            <v>983</v>
          </cell>
          <cell r="C627">
            <v>43140</v>
          </cell>
          <cell r="D627" t="str">
            <v>SOCORRO  QUIROGA QUIROGA</v>
          </cell>
          <cell r="E627">
            <v>31</v>
          </cell>
          <cell r="F627" t="str">
            <v>RESOLUCION</v>
          </cell>
          <cell r="G627">
            <v>571</v>
          </cell>
          <cell r="H627">
            <v>43140</v>
          </cell>
          <cell r="I627" t="str">
            <v>AYUDA TEMPORAL A LAS FAMILIAS DE VARIAS LOCALIDADES, PARA RELOCALIZACIÓN DE HOGARES LOCALIZADOS EN ZONAS DE ALTO RIESGO NO MITIGABLE ID:2011-4-12923, LOCALIDAD:04 SAN CRISTÓBAL, UPZ:50 LA GLORIA</v>
          </cell>
          <cell r="J627">
            <v>2895704</v>
          </cell>
          <cell r="K627">
            <v>0</v>
          </cell>
          <cell r="L627">
            <v>2895704</v>
          </cell>
          <cell r="M627">
            <v>1654688</v>
          </cell>
          <cell r="N627">
            <v>1241016</v>
          </cell>
        </row>
        <row r="628">
          <cell r="A628">
            <v>395</v>
          </cell>
          <cell r="B628">
            <v>984</v>
          </cell>
          <cell r="C628">
            <v>43140</v>
          </cell>
          <cell r="D628" t="str">
            <v>GLORIA CECILIA QUIMBAYO SUAREZ</v>
          </cell>
          <cell r="E628">
            <v>31</v>
          </cell>
          <cell r="F628" t="str">
            <v>RESOLUCION</v>
          </cell>
          <cell r="G628">
            <v>572</v>
          </cell>
          <cell r="H628">
            <v>43140</v>
          </cell>
          <cell r="I628" t="str">
            <v>AYUDA TEMPORAL A LAS FAMILIAS DE VARIAS LOCALIDADES, PARA RELOCALIZACIÓN DE HOGARES LOCALIZADOS EN ZONAS DE ALTO RIESGO NO MITIGABLE ID:2003-19-4618, LOCALIDAD:19 CIUDAD BOLÍVAR, UPZ:69 ISMAEL PERDOMO, SECTOR:ALTOS DE LA ESTANCIA</v>
          </cell>
          <cell r="J628">
            <v>2845920</v>
          </cell>
          <cell r="K628">
            <v>0</v>
          </cell>
          <cell r="L628">
            <v>2845920</v>
          </cell>
          <cell r="M628">
            <v>1626240</v>
          </cell>
          <cell r="N628">
            <v>1219680</v>
          </cell>
        </row>
        <row r="629">
          <cell r="A629">
            <v>395</v>
          </cell>
          <cell r="B629">
            <v>985</v>
          </cell>
          <cell r="C629">
            <v>43140</v>
          </cell>
          <cell r="D629" t="str">
            <v>NANCY  SILVA CRISTIANO</v>
          </cell>
          <cell r="E629">
            <v>31</v>
          </cell>
          <cell r="F629" t="str">
            <v>RESOLUCION</v>
          </cell>
          <cell r="G629">
            <v>573</v>
          </cell>
          <cell r="H629">
            <v>43140</v>
          </cell>
          <cell r="I629" t="str">
            <v>AYUDA TEMPORAL A LAS FAMILIAS DE VARIAS LOCALIDADES, PARA RELOCALIZACIÓN DE HOGARES LOCALIZADOS EN ZONAS DE ALTO RIESGO NO MITIGABLE ID:2012-19-13922, LOCALIDAD:19 CIUDAD BOLÍVAR, UPZ:67 LUCERO</v>
          </cell>
          <cell r="J629">
            <v>2849392</v>
          </cell>
          <cell r="K629">
            <v>0</v>
          </cell>
          <cell r="L629">
            <v>2849392</v>
          </cell>
          <cell r="M629">
            <v>1221168</v>
          </cell>
          <cell r="N629">
            <v>1628224</v>
          </cell>
        </row>
        <row r="630">
          <cell r="A630">
            <v>395</v>
          </cell>
          <cell r="B630">
            <v>986</v>
          </cell>
          <cell r="C630">
            <v>43140</v>
          </cell>
          <cell r="D630" t="str">
            <v>JOSE GRATINIANO BOJACA OLIVEROS</v>
          </cell>
          <cell r="E630">
            <v>31</v>
          </cell>
          <cell r="F630" t="str">
            <v>RESOLUCION</v>
          </cell>
          <cell r="G630">
            <v>574</v>
          </cell>
          <cell r="H630">
            <v>43140</v>
          </cell>
          <cell r="I630" t="str">
            <v>AYUDA TEMPORAL A LAS FAMILIAS DE VARIAS LOCALIDADES, PARA RELOCALIZACIÓN DE HOGARES LOCALIZADOS EN ZONAS DE ALTO RIESGO NO MITIGABLE ID:2016-04-14919, LOCALIDAD:04 SAN CRISTÓBAL, UPZ:32 SAN BLAS, SECTOR:TRIANGULO ALTO</v>
          </cell>
          <cell r="J630">
            <v>5754190</v>
          </cell>
          <cell r="K630">
            <v>0</v>
          </cell>
          <cell r="L630">
            <v>5754190</v>
          </cell>
          <cell r="M630">
            <v>1770520</v>
          </cell>
          <cell r="N630">
            <v>3983670</v>
          </cell>
        </row>
        <row r="631">
          <cell r="A631">
            <v>395</v>
          </cell>
          <cell r="B631">
            <v>987</v>
          </cell>
          <cell r="C631">
            <v>43140</v>
          </cell>
          <cell r="D631" t="str">
            <v>CARMEN ROSA HERNANDEZ TORRES</v>
          </cell>
          <cell r="E631">
            <v>31</v>
          </cell>
          <cell r="F631" t="str">
            <v>RESOLUCION</v>
          </cell>
          <cell r="G631">
            <v>575</v>
          </cell>
          <cell r="H631">
            <v>43140</v>
          </cell>
          <cell r="I631" t="str">
            <v>AYUDA TEMPORAL A LAS FAMILIAS DE VARIAS LOCALIDADES, PARA RELOCALIZACIÓN DE HOGARES LOCALIZADOS EN ZONAS DE ALTO RIESGO NO MITIGABLE ID:2015-Q03-03349, LOCALIDAD:19 CIUDAD BOLÍVAR, UPZ:67 LUCERO, SECTOR:LIMAS</v>
          </cell>
          <cell r="J631">
            <v>6233708</v>
          </cell>
          <cell r="K631">
            <v>0</v>
          </cell>
          <cell r="L631">
            <v>6233708</v>
          </cell>
          <cell r="M631">
            <v>1918064</v>
          </cell>
          <cell r="N631">
            <v>4315644</v>
          </cell>
        </row>
        <row r="632">
          <cell r="A632">
            <v>395</v>
          </cell>
          <cell r="B632">
            <v>988</v>
          </cell>
          <cell r="C632">
            <v>43140</v>
          </cell>
          <cell r="D632" t="str">
            <v>YECI PAOLA SAMUDIO SIPACON</v>
          </cell>
          <cell r="E632">
            <v>31</v>
          </cell>
          <cell r="F632" t="str">
            <v>RESOLUCION</v>
          </cell>
          <cell r="G632">
            <v>576</v>
          </cell>
          <cell r="H632">
            <v>43140</v>
          </cell>
          <cell r="I632" t="str">
            <v>AYUDA TEMPORAL A LAS FAMILIAS DE VARIAS LOCALIDADES, PARA RELOCALIZACIÓN DE HOGARES LOCALIZADOS EN ZONAS DE ALTO RIESGO NO MITIGABLE ID:2016-08-14773, LOCALIDAD:08 KENNEDY, UPZ:82 PATIO BONITO, SECTOR:PALMITAS</v>
          </cell>
          <cell r="J632">
            <v>7480447</v>
          </cell>
          <cell r="K632">
            <v>0</v>
          </cell>
          <cell r="L632">
            <v>7480447</v>
          </cell>
          <cell r="M632">
            <v>2301676</v>
          </cell>
          <cell r="N632">
            <v>5178771</v>
          </cell>
        </row>
        <row r="633">
          <cell r="A633">
            <v>395</v>
          </cell>
          <cell r="B633">
            <v>989</v>
          </cell>
          <cell r="C633">
            <v>43140</v>
          </cell>
          <cell r="D633" t="str">
            <v>FRAECEDIS  PACHECO TOVAR</v>
          </cell>
          <cell r="E633">
            <v>31</v>
          </cell>
          <cell r="F633" t="str">
            <v>RESOLUCION</v>
          </cell>
          <cell r="G633">
            <v>577</v>
          </cell>
          <cell r="H633">
            <v>43140</v>
          </cell>
          <cell r="I633" t="str">
            <v>AYUDA TEMPORAL A LAS FAMILIAS DE VARIAS LOCALIDADES, PARA RELOCALIZACIÓN DE HOGARES LOCALIZADOS EN ZONAS DE ALTO RIESGO NO MITIGABLE ID:2016-08-14907, LOCALIDAD:08 KENNEDY, UPZ:82 PATIO BONITO, SECTOR:PALMITAS</v>
          </cell>
          <cell r="J633">
            <v>3873016</v>
          </cell>
          <cell r="K633">
            <v>0</v>
          </cell>
          <cell r="L633">
            <v>3873016</v>
          </cell>
          <cell r="M633">
            <v>2213152</v>
          </cell>
          <cell r="N633">
            <v>1659864</v>
          </cell>
        </row>
        <row r="634">
          <cell r="A634">
            <v>395</v>
          </cell>
          <cell r="B634">
            <v>990</v>
          </cell>
          <cell r="C634">
            <v>43140</v>
          </cell>
          <cell r="D634" t="str">
            <v>MANUEL GUILLERMO PEÑA GONZALEZ</v>
          </cell>
          <cell r="E634">
            <v>31</v>
          </cell>
          <cell r="F634" t="str">
            <v>RESOLUCION</v>
          </cell>
          <cell r="G634">
            <v>578</v>
          </cell>
          <cell r="H634">
            <v>43140</v>
          </cell>
          <cell r="I634" t="str">
            <v>AYUDA TEMPORAL A LAS FAMILIAS DE VARIAS LOCALIDADES, PARA RELOCALIZACIÓN DE HOGARES LOCALIZADOS EN ZONAS DE ALTO RIESGO NO MITIGABLE ID:2014-Q07-00924, LOCALIDAD:19 CIUDAD BOLÍVAR, UPZ:67 LUCERO, SECTOR:QUEBRADA TROMPETA</v>
          </cell>
          <cell r="J634">
            <v>2582006</v>
          </cell>
          <cell r="K634">
            <v>0</v>
          </cell>
          <cell r="L634">
            <v>2582006</v>
          </cell>
          <cell r="M634">
            <v>1475432</v>
          </cell>
          <cell r="N634">
            <v>1106574</v>
          </cell>
        </row>
        <row r="635">
          <cell r="A635">
            <v>395</v>
          </cell>
          <cell r="B635">
            <v>991</v>
          </cell>
          <cell r="C635">
            <v>43140</v>
          </cell>
          <cell r="D635" t="str">
            <v>BENEDICTO  VALBUENA LEON</v>
          </cell>
          <cell r="E635">
            <v>31</v>
          </cell>
          <cell r="F635" t="str">
            <v>RESOLUCION</v>
          </cell>
          <cell r="G635">
            <v>579</v>
          </cell>
          <cell r="H635">
            <v>43140</v>
          </cell>
          <cell r="I635" t="str">
            <v>AYUDA TEMPORAL A LAS FAMILIAS DE VARIAS LOCALIDADES, PARA RELOCALIZACIÓN DE HOGARES LOCALIZADOS EN ZONAS DE ALTO RIESGO NO MITIGABLE ID:2014-OTR-00978, LOCALIDAD:19 CIUDAD BOLÍVAR, UPZ:67 LUCERO, SECTOR:TABOR ALTALOMA</v>
          </cell>
          <cell r="J635">
            <v>3017000</v>
          </cell>
          <cell r="K635">
            <v>0</v>
          </cell>
          <cell r="L635">
            <v>3017000</v>
          </cell>
          <cell r="M635">
            <v>1724000</v>
          </cell>
          <cell r="N635">
            <v>1293000</v>
          </cell>
        </row>
        <row r="636">
          <cell r="A636">
            <v>395</v>
          </cell>
          <cell r="B636">
            <v>992</v>
          </cell>
          <cell r="C636">
            <v>43140</v>
          </cell>
          <cell r="D636" t="str">
            <v>VICTOR MANUEL ARIZA CABREJO</v>
          </cell>
          <cell r="E636">
            <v>31</v>
          </cell>
          <cell r="F636" t="str">
            <v>RESOLUCION</v>
          </cell>
          <cell r="G636">
            <v>580</v>
          </cell>
          <cell r="H636">
            <v>43140</v>
          </cell>
          <cell r="I636" t="str">
            <v>AYUDA TEMPORAL A LAS FAMILIAS DE VARIAS LOCALIDADES, PARA RELOCALIZACIÓN DE HOGARES LOCALIZADOS EN ZONAS DE ALTO RIESGO NO MITIGABLE ID:2010-5-11546, LOCALIDAD:05 USME, UPZ:57 GRAN YOMASA, SECTOR:OLA INVERNAL 2010 FOPAE</v>
          </cell>
          <cell r="J636">
            <v>2582006</v>
          </cell>
          <cell r="K636">
            <v>1844290</v>
          </cell>
          <cell r="L636">
            <v>737716</v>
          </cell>
          <cell r="M636">
            <v>737716</v>
          </cell>
          <cell r="N636">
            <v>0</v>
          </cell>
        </row>
        <row r="637">
          <cell r="A637">
            <v>395</v>
          </cell>
          <cell r="B637">
            <v>993</v>
          </cell>
          <cell r="C637">
            <v>43140</v>
          </cell>
          <cell r="D637" t="str">
            <v>PAOLA KARINA ERASO</v>
          </cell>
          <cell r="E637">
            <v>31</v>
          </cell>
          <cell r="F637" t="str">
            <v>RESOLUCION</v>
          </cell>
          <cell r="G637">
            <v>581</v>
          </cell>
          <cell r="H637">
            <v>43140</v>
          </cell>
          <cell r="I637" t="str">
            <v>AYUDA TEMPORAL A LAS FAMILIAS DE VARIAS LOCALIDADES, PARA RELOCALIZACIÓN DE HOGARES LOCALIZADOS EN ZONAS DE ALTO RIESGO NO MITIGABLE ID:2013-Q17-00086, LOCALIDAD:19 CIUDAD BOLÍVAR, UPZ:67 LUCERO, SECTOR:QUEBRADA TROMPETA</v>
          </cell>
          <cell r="J637">
            <v>3619000</v>
          </cell>
          <cell r="K637">
            <v>0</v>
          </cell>
          <cell r="L637">
            <v>3619000</v>
          </cell>
          <cell r="M637">
            <v>2068000</v>
          </cell>
          <cell r="N637">
            <v>1551000</v>
          </cell>
        </row>
        <row r="638">
          <cell r="A638">
            <v>395</v>
          </cell>
          <cell r="B638">
            <v>994</v>
          </cell>
          <cell r="C638">
            <v>43140</v>
          </cell>
          <cell r="D638" t="str">
            <v>HARRISON DAVID BARBOSA RINCON</v>
          </cell>
          <cell r="E638">
            <v>31</v>
          </cell>
          <cell r="F638" t="str">
            <v>RESOLUCION</v>
          </cell>
          <cell r="G638">
            <v>582</v>
          </cell>
          <cell r="H638">
            <v>43140</v>
          </cell>
          <cell r="I638" t="str">
            <v>AYUDA TEMPORAL A LAS FAMILIAS DE VARIAS LOCALIDADES, PARA RELOCALIZACIÓN DE HOGARES LOCALIZADOS EN ZONAS DE ALTO RIESGO NO MITIGABLE ID:2010-18-12342, LOCALIDAD:18 RAFAEL URIBE URIBE, UPZ:55 DIANA TURBAY, SECTOR:OLA INVERNAL 2010 FOPAE</v>
          </cell>
          <cell r="J638">
            <v>2887073</v>
          </cell>
          <cell r="K638">
            <v>0</v>
          </cell>
          <cell r="L638">
            <v>2887073</v>
          </cell>
          <cell r="M638">
            <v>1649756</v>
          </cell>
          <cell r="N638">
            <v>1237317</v>
          </cell>
        </row>
        <row r="639">
          <cell r="A639">
            <v>395</v>
          </cell>
          <cell r="B639">
            <v>995</v>
          </cell>
          <cell r="C639">
            <v>43140</v>
          </cell>
          <cell r="D639" t="str">
            <v>PAULA ANDREA OTALVARO TORRES</v>
          </cell>
          <cell r="E639">
            <v>31</v>
          </cell>
          <cell r="F639" t="str">
            <v>RESOLUCION</v>
          </cell>
          <cell r="G639">
            <v>583</v>
          </cell>
          <cell r="H639">
            <v>43140</v>
          </cell>
          <cell r="I639" t="str">
            <v>AYUDA TEMPORAL A LAS FAMILIAS DE VARIAS LOCALIDADES, PARA RELOCALIZACIÓN DE HOGARES LOCALIZADOS EN ZONAS DE ALTO RIESGO NO MITIGABLE ID:2016-08-14877, LOCALIDAD:08 KENNEDY, UPZ:82 PATIO BONITO, SECTOR:PALMITAS</v>
          </cell>
          <cell r="J639">
            <v>5274659</v>
          </cell>
          <cell r="K639">
            <v>0</v>
          </cell>
          <cell r="L639">
            <v>5274659</v>
          </cell>
          <cell r="M639">
            <v>1622972</v>
          </cell>
          <cell r="N639">
            <v>3651687</v>
          </cell>
        </row>
        <row r="640">
          <cell r="A640">
            <v>575</v>
          </cell>
          <cell r="B640">
            <v>996</v>
          </cell>
          <cell r="C640">
            <v>43140</v>
          </cell>
          <cell r="D640" t="str">
            <v>JORGE HERNANDO DIAZ SILVA</v>
          </cell>
          <cell r="E640">
            <v>31</v>
          </cell>
          <cell r="F640" t="str">
            <v>RESOLUCION</v>
          </cell>
          <cell r="G640">
            <v>599</v>
          </cell>
          <cell r="H640">
            <v>43140</v>
          </cell>
          <cell r="I640" t="str">
            <v>Asignacion del instrumento financiero a las familias ocupantes del predio que hayan superado la fase de verificacion dentro  del marco del Decreto 457 de 2017. LOCALIDAD: KENNEDY; BARRIO: VEREDITAS; ID: 2017-8-383896</v>
          </cell>
          <cell r="J640">
            <v>54686940</v>
          </cell>
          <cell r="K640">
            <v>0</v>
          </cell>
          <cell r="L640">
            <v>54686940</v>
          </cell>
          <cell r="M640">
            <v>54686940</v>
          </cell>
          <cell r="N640">
            <v>0</v>
          </cell>
        </row>
        <row r="641">
          <cell r="A641">
            <v>498</v>
          </cell>
          <cell r="B641">
            <v>998</v>
          </cell>
          <cell r="C641">
            <v>43140</v>
          </cell>
          <cell r="D641" t="str">
            <v>PASCUAL ALVEIRO SEMANATE ANACONA</v>
          </cell>
          <cell r="E641">
            <v>31</v>
          </cell>
          <cell r="F641" t="str">
            <v>RESOLUCION</v>
          </cell>
          <cell r="G641">
            <v>606</v>
          </cell>
          <cell r="H641">
            <v>43140</v>
          </cell>
          <cell r="I641" t="str">
            <v>VUR DE LA ACTUAL VIGENCIA DE ACUERDO CON EL DECRETO 255 DE 2013. LOCALIDAD: CIUDAD BOLIVAR; BARRIO:EL MIRADOR 3; ID: 2017-19-14960.</v>
          </cell>
          <cell r="J641">
            <v>39062100</v>
          </cell>
          <cell r="K641">
            <v>0</v>
          </cell>
          <cell r="L641">
            <v>39062100</v>
          </cell>
          <cell r="M641">
            <v>39062100</v>
          </cell>
          <cell r="N641">
            <v>0</v>
          </cell>
        </row>
        <row r="642">
          <cell r="A642">
            <v>505</v>
          </cell>
          <cell r="B642">
            <v>999</v>
          </cell>
          <cell r="C642">
            <v>43140</v>
          </cell>
          <cell r="D642" t="str">
            <v>EGBERTO  URREGO VALBUENA</v>
          </cell>
          <cell r="E642">
            <v>31</v>
          </cell>
          <cell r="F642" t="str">
            <v>RESOLUCION</v>
          </cell>
          <cell r="G642">
            <v>605</v>
          </cell>
          <cell r="H642">
            <v>43140</v>
          </cell>
          <cell r="I642" t="str">
            <v>ADQUISICIÓN PREDIAL DTO. 511 DE 2010. LOCALIDAD: USAQUEN; BARRIO: CASA DE TEJA;ID: 2013-Q09-00140</v>
          </cell>
          <cell r="J642">
            <v>113366000</v>
          </cell>
          <cell r="K642">
            <v>0</v>
          </cell>
          <cell r="L642">
            <v>113366000</v>
          </cell>
          <cell r="M642">
            <v>0</v>
          </cell>
          <cell r="N642">
            <v>113366000</v>
          </cell>
        </row>
        <row r="643">
          <cell r="A643">
            <v>395</v>
          </cell>
          <cell r="B643">
            <v>1000</v>
          </cell>
          <cell r="C643">
            <v>43140</v>
          </cell>
          <cell r="D643" t="str">
            <v>ERNESTO  BUITRAGO TORO</v>
          </cell>
          <cell r="E643">
            <v>31</v>
          </cell>
          <cell r="F643" t="str">
            <v>RESOLUCION</v>
          </cell>
          <cell r="G643">
            <v>588</v>
          </cell>
          <cell r="H643">
            <v>43140</v>
          </cell>
          <cell r="I643" t="str">
            <v>AYUDA TEMPORAL A LAS FAMILIAS DE VARIAS LOCALIDADES, PARA RELOCALIZACIÓN DE HOGARES LOCALIZADOS EN ZONAS DE ALTO RIESGO NO MITIGABLE ID:2014-Q17-01010, LOCALIDAD:19 CIUDAD BOLÍVAR, UPZ:67 LUCERO, SECTOR:ZANJÓN DEL AHORCADO</v>
          </cell>
          <cell r="J643">
            <v>5946005</v>
          </cell>
          <cell r="K643">
            <v>0</v>
          </cell>
          <cell r="L643">
            <v>5946005</v>
          </cell>
          <cell r="M643">
            <v>1372155</v>
          </cell>
          <cell r="N643">
            <v>4573850</v>
          </cell>
        </row>
        <row r="644">
          <cell r="A644">
            <v>395</v>
          </cell>
          <cell r="B644">
            <v>1001</v>
          </cell>
          <cell r="C644">
            <v>43140</v>
          </cell>
          <cell r="D644" t="str">
            <v>ALBA FLOR IBAÑEZ JIMENEZ</v>
          </cell>
          <cell r="E644">
            <v>31</v>
          </cell>
          <cell r="F644" t="str">
            <v>RESOLUCION</v>
          </cell>
          <cell r="G644">
            <v>589</v>
          </cell>
          <cell r="H644">
            <v>43140</v>
          </cell>
          <cell r="I644" t="str">
            <v>AYUDA TEMPORAL A LAS FAMILIAS DE VARIAS LOCALIDADES, PARA RELOCALIZACIÓN DE HOGARES LOCALIZADOS EN ZONAS DE ALTO RIESGO NO MITIGABLE ID:2014-Q20-01253, LOCALIDAD:04 SAN CRISTÓBAL, UPZ:50 LA GLORIA, SECTOR:LA CHIGUAZA</v>
          </cell>
          <cell r="J644">
            <v>2992227</v>
          </cell>
          <cell r="K644">
            <v>0</v>
          </cell>
          <cell r="L644">
            <v>2992227</v>
          </cell>
          <cell r="M644">
            <v>1709844</v>
          </cell>
          <cell r="N644">
            <v>1282383</v>
          </cell>
        </row>
        <row r="645">
          <cell r="A645">
            <v>395</v>
          </cell>
          <cell r="B645">
            <v>1002</v>
          </cell>
          <cell r="C645">
            <v>43140</v>
          </cell>
          <cell r="D645" t="str">
            <v>EDGAR  FRANCO GAONA</v>
          </cell>
          <cell r="E645">
            <v>31</v>
          </cell>
          <cell r="F645" t="str">
            <v>RESOLUCION</v>
          </cell>
          <cell r="G645">
            <v>590</v>
          </cell>
          <cell r="H645">
            <v>43140</v>
          </cell>
          <cell r="I645" t="str">
            <v>AYUDA TEMPORAL A LAS FAMILIAS DE VARIAS LOCALIDADES, PARA RELOCALIZACIÓN DE HOGARES LOCALIZADOS EN ZONAS DE ALTO RIESGO NO MITIGABLE ID:2013-19-14624, LOCALIDAD:19 CIUDAD BOLÍVAR, UPZ:68 EL TESORO</v>
          </cell>
          <cell r="J645">
            <v>2661659</v>
          </cell>
          <cell r="K645">
            <v>0</v>
          </cell>
          <cell r="L645">
            <v>2661659</v>
          </cell>
          <cell r="M645">
            <v>1520948</v>
          </cell>
          <cell r="N645">
            <v>1140711</v>
          </cell>
        </row>
        <row r="646">
          <cell r="A646">
            <v>395</v>
          </cell>
          <cell r="B646">
            <v>1003</v>
          </cell>
          <cell r="C646">
            <v>43140</v>
          </cell>
          <cell r="D646" t="str">
            <v>GLADYS  OCAMPO ESPINOSA</v>
          </cell>
          <cell r="E646">
            <v>31</v>
          </cell>
          <cell r="F646" t="str">
            <v>RESOLUCION</v>
          </cell>
          <cell r="G646">
            <v>591</v>
          </cell>
          <cell r="H646">
            <v>43140</v>
          </cell>
          <cell r="I646" t="str">
            <v>AYUDA TEMPORAL A LAS FAMILIAS DE VARIAS LOCALIDADES, PARA RELOCALIZACIÓN DE HOGARES LOCALIZADOS EN ZONAS DE ALTO RIESGO NO MITIGABLE ID:2014-Q01-01064, LOCALIDAD:05 USME, UPZ:56 DANUBIO, SECTOR:HOYA DEL RAMO</v>
          </cell>
          <cell r="J646">
            <v>4131218</v>
          </cell>
          <cell r="K646">
            <v>0</v>
          </cell>
          <cell r="L646">
            <v>4131218</v>
          </cell>
          <cell r="M646">
            <v>2360696</v>
          </cell>
          <cell r="N646">
            <v>1770522</v>
          </cell>
        </row>
        <row r="647">
          <cell r="A647">
            <v>395</v>
          </cell>
          <cell r="B647">
            <v>1004</v>
          </cell>
          <cell r="C647">
            <v>43140</v>
          </cell>
          <cell r="D647" t="str">
            <v>LEIDI VIVIANA MARTINEZ AMEZQUITA</v>
          </cell>
          <cell r="E647">
            <v>31</v>
          </cell>
          <cell r="F647" t="str">
            <v>RESOLUCION</v>
          </cell>
          <cell r="G647">
            <v>592</v>
          </cell>
          <cell r="H647">
            <v>43140</v>
          </cell>
          <cell r="I647" t="str">
            <v>AYUDA TEMPORAL A LAS FAMILIAS DE VARIAS LOCALIDADES, PARA RELOCALIZACIÓN DE HOGARES LOCALIZADOS EN ZONAS DE ALTO RIESGO NO MITIGABLE ID:2016-08-14802, LOCALIDAD:08 KENNEDY, UPZ:82 PATIO BONITO, SECTOR:PALMITAS</v>
          </cell>
          <cell r="J647">
            <v>5825885</v>
          </cell>
          <cell r="K647">
            <v>0</v>
          </cell>
          <cell r="L647">
            <v>5825885</v>
          </cell>
          <cell r="M647">
            <v>896290</v>
          </cell>
          <cell r="N647">
            <v>4929595</v>
          </cell>
        </row>
        <row r="648">
          <cell r="A648">
            <v>395</v>
          </cell>
          <cell r="B648">
            <v>1005</v>
          </cell>
          <cell r="C648">
            <v>43140</v>
          </cell>
          <cell r="D648" t="str">
            <v>PILAR  RIVERA PELAEZ</v>
          </cell>
          <cell r="E648">
            <v>31</v>
          </cell>
          <cell r="F648" t="str">
            <v>RESOLUCION</v>
          </cell>
          <cell r="G648">
            <v>593</v>
          </cell>
          <cell r="H648">
            <v>43140</v>
          </cell>
          <cell r="I648" t="str">
            <v>AYUDA TEMPORAL A LAS FAMILIAS DE VARIAS LOCALIDADES, PARA RELOCALIZACIÓN DE HOGARES LOCALIZADOS EN ZONAS DE ALTO RIESGO NO MITIGABLE ID:2016-08-14836, LOCALIDAD:08 KENNEDY, UPZ:82 PATIO BONITO, SECTOR:PALMITAS</v>
          </cell>
          <cell r="J648">
            <v>3873016</v>
          </cell>
          <cell r="K648">
            <v>2213152</v>
          </cell>
          <cell r="L648">
            <v>1659864</v>
          </cell>
          <cell r="M648">
            <v>1659864</v>
          </cell>
          <cell r="N648">
            <v>0</v>
          </cell>
        </row>
        <row r="649">
          <cell r="A649">
            <v>395</v>
          </cell>
          <cell r="B649">
            <v>1006</v>
          </cell>
          <cell r="C649">
            <v>43140</v>
          </cell>
          <cell r="D649" t="str">
            <v>BEYANIRA  GRACIA BARRAGAN</v>
          </cell>
          <cell r="E649">
            <v>31</v>
          </cell>
          <cell r="F649" t="str">
            <v>RESOLUCION</v>
          </cell>
          <cell r="G649">
            <v>594</v>
          </cell>
          <cell r="H649">
            <v>43140</v>
          </cell>
          <cell r="I649" t="str">
            <v>AYUDA TEMPORAL A LAS FAMILIAS DE VARIAS LOCALIDADES, PARA RELOCALIZACIÓN DE HOGARES LOCALIZADOS EN ZONAS DE ALTO RIESGO NO MITIGABLE ID:2013-Q04-00310, LOCALIDAD:04 SAN CRISTÓBAL, UPZ:51 LOS LIBERTADORES, SECTOR:QUEBRADA VEREJONES</v>
          </cell>
          <cell r="J649">
            <v>7036302</v>
          </cell>
          <cell r="K649">
            <v>0</v>
          </cell>
          <cell r="L649">
            <v>7036302</v>
          </cell>
          <cell r="M649">
            <v>2165016</v>
          </cell>
          <cell r="N649">
            <v>4871286</v>
          </cell>
        </row>
        <row r="650">
          <cell r="A650">
            <v>395</v>
          </cell>
          <cell r="B650">
            <v>1007</v>
          </cell>
          <cell r="C650">
            <v>43140</v>
          </cell>
          <cell r="D650" t="str">
            <v>ANA BEATRIZ PEÑA TOVAR</v>
          </cell>
          <cell r="E650">
            <v>31</v>
          </cell>
          <cell r="F650" t="str">
            <v>RESOLUCION</v>
          </cell>
          <cell r="G650">
            <v>595</v>
          </cell>
          <cell r="H650">
            <v>43140</v>
          </cell>
          <cell r="I650" t="str">
            <v>AYUDA TEMPORAL A LAS FAMILIAS DE VARIAS LOCALIDADES, PARA RELOCALIZACIÓN DE HOGARES LOCALIZADOS EN ZONAS DE ALTO RIESGO NO MITIGABLE ID:2014-OTR-00905, LOCALIDAD:03 SANTA FE, UPZ:96 LOURDES, SECTOR:CASA 3</v>
          </cell>
          <cell r="J650">
            <v>2975525</v>
          </cell>
          <cell r="K650">
            <v>0</v>
          </cell>
          <cell r="L650">
            <v>2975525</v>
          </cell>
          <cell r="M650">
            <v>1700300</v>
          </cell>
          <cell r="N650">
            <v>1275225</v>
          </cell>
        </row>
        <row r="651">
          <cell r="A651">
            <v>395</v>
          </cell>
          <cell r="B651">
            <v>1008</v>
          </cell>
          <cell r="C651">
            <v>43140</v>
          </cell>
          <cell r="D651" t="str">
            <v>MARIA EVANGELINA HERRERA HERRERA</v>
          </cell>
          <cell r="E651">
            <v>31</v>
          </cell>
          <cell r="F651" t="str">
            <v>RESOLUCION</v>
          </cell>
          <cell r="G651">
            <v>596</v>
          </cell>
          <cell r="H651">
            <v>43443</v>
          </cell>
          <cell r="I651" t="str">
            <v>AYUDA TEMPORAL A LAS FAMILIAS DE VARIAS LOCALIDADES, PARA RELOCALIZACIÓN DE HOGARES LOCALIZADOS EN ZONAS DE ALTO RIESGO NO MITIGABLE ID:2013000553, LOCALIDAD:19 CIUDAD BOLÍVAR, UPZ:67 LUCERO, SECTOR:QUEBRADA TROMPETA</v>
          </cell>
          <cell r="J651">
            <v>3619637</v>
          </cell>
          <cell r="K651">
            <v>0</v>
          </cell>
          <cell r="L651">
            <v>3619637</v>
          </cell>
          <cell r="M651">
            <v>1551273</v>
          </cell>
          <cell r="N651">
            <v>2068364</v>
          </cell>
        </row>
        <row r="652">
          <cell r="A652">
            <v>395</v>
          </cell>
          <cell r="B652">
            <v>1009</v>
          </cell>
          <cell r="C652">
            <v>43140</v>
          </cell>
          <cell r="D652" t="str">
            <v>BLANCA LUCIA GIRON ROSERO</v>
          </cell>
          <cell r="E652">
            <v>31</v>
          </cell>
          <cell r="F652" t="str">
            <v>RESOLUCION</v>
          </cell>
          <cell r="G652">
            <v>602</v>
          </cell>
          <cell r="H652">
            <v>43139</v>
          </cell>
          <cell r="I652" t="str">
            <v>AYUDA TEMPORAL A LAS FAMILIAS DE VARIAS LOCALIDADES, PARA RELOCALIZACIÓN DE HOGARES LOCALIZADOS EN ZONAS DE ALTO RIESGO NO MITIGABLE ID:2011-19-13373, LOCALIDAD:19 CIUDAD BOLÍVAR, UPZ:3 UPR RIO TUNJUELO</v>
          </cell>
          <cell r="J652">
            <v>4027933</v>
          </cell>
          <cell r="K652">
            <v>0</v>
          </cell>
          <cell r="L652">
            <v>4027933</v>
          </cell>
          <cell r="M652">
            <v>1726257</v>
          </cell>
          <cell r="N652">
            <v>2301676</v>
          </cell>
        </row>
        <row r="653">
          <cell r="A653">
            <v>395</v>
          </cell>
          <cell r="B653">
            <v>1010</v>
          </cell>
          <cell r="C653">
            <v>43140</v>
          </cell>
          <cell r="D653" t="str">
            <v>ESNEDA  LASSO MACHADO</v>
          </cell>
          <cell r="E653">
            <v>31</v>
          </cell>
          <cell r="F653" t="str">
            <v>RESOLUCION</v>
          </cell>
          <cell r="G653">
            <v>603</v>
          </cell>
          <cell r="H653">
            <v>43140</v>
          </cell>
          <cell r="I653" t="str">
            <v>AYUDA TEMPORAL A LAS FAMILIAS DE VARIAS LOCALIDADES, PARA RELOCALIZACIÓN DE HOGARES LOCALIZADOS EN ZONAS DE ALTO RIESGO NO MITIGABLE ID:2011-19-12866, LOCALIDAD:19 CIUDAD BOLÍVAR, UPZ:67 LUCERO</v>
          </cell>
          <cell r="J653">
            <v>4795154</v>
          </cell>
          <cell r="K653">
            <v>0</v>
          </cell>
          <cell r="L653">
            <v>4795154</v>
          </cell>
          <cell r="M653">
            <v>1475432</v>
          </cell>
          <cell r="N653">
            <v>3319722</v>
          </cell>
        </row>
        <row r="654">
          <cell r="A654">
            <v>395</v>
          </cell>
          <cell r="B654">
            <v>1011</v>
          </cell>
          <cell r="C654">
            <v>43140</v>
          </cell>
          <cell r="D654" t="str">
            <v>JOSE ANTONIO CASTEBLANCO CAMARGO</v>
          </cell>
          <cell r="E654">
            <v>31</v>
          </cell>
          <cell r="F654" t="str">
            <v>RESOLUCION</v>
          </cell>
          <cell r="G654">
            <v>604</v>
          </cell>
          <cell r="H654">
            <v>43140</v>
          </cell>
          <cell r="I654" t="str">
            <v>AYUDA TEMPORAL A LAS FAMILIAS DE VARIAS LOCALIDADES, PARA RELOCALIZACIÓN DE HOGARES LOCALIZADOS EN ZONAS DE ALTO RIESGO NO MITIGABLE ID:2013000167, LOCALIDAD:19 CIUDAD BOLÍVAR, UPZ:67 LUCERO, SECTOR:QUEBRADA TROMPETA</v>
          </cell>
          <cell r="J654">
            <v>7077200</v>
          </cell>
          <cell r="K654">
            <v>0</v>
          </cell>
          <cell r="L654">
            <v>7077200</v>
          </cell>
          <cell r="M654">
            <v>2177600</v>
          </cell>
          <cell r="N654">
            <v>4899600</v>
          </cell>
        </row>
        <row r="655">
          <cell r="A655">
            <v>395</v>
          </cell>
          <cell r="B655">
            <v>1012</v>
          </cell>
          <cell r="C655">
            <v>43140</v>
          </cell>
          <cell r="D655" t="str">
            <v>MARIELA  CHARRY PINTO</v>
          </cell>
          <cell r="E655">
            <v>31</v>
          </cell>
          <cell r="F655" t="str">
            <v>RESOLUCION</v>
          </cell>
          <cell r="G655">
            <v>584</v>
          </cell>
          <cell r="H655">
            <v>43140</v>
          </cell>
          <cell r="I655" t="str">
            <v>AYUDA TEMPORAL A LAS FAMILIAS DE VARIAS LOCALIDADES, PARA RELOCALIZACIÓN DE HOGARES LOCALIZADOS EN ZONAS DE ALTO RIESGO NO MITIGABLE ID:2012-18-14360, LOCALIDAD:18 RAFAEL URIBE URIBE, UPZ:55 DIANA TURBAY</v>
          </cell>
          <cell r="J655">
            <v>3752413</v>
          </cell>
          <cell r="K655">
            <v>0</v>
          </cell>
          <cell r="L655">
            <v>3752413</v>
          </cell>
          <cell r="M655">
            <v>2144236</v>
          </cell>
          <cell r="N655">
            <v>1608177</v>
          </cell>
        </row>
        <row r="656">
          <cell r="A656">
            <v>481</v>
          </cell>
          <cell r="B656">
            <v>1013</v>
          </cell>
          <cell r="C656">
            <v>43140</v>
          </cell>
          <cell r="D656" t="str">
            <v>MARIA FANNY PERDOMO AMAYA</v>
          </cell>
          <cell r="E656">
            <v>31</v>
          </cell>
          <cell r="F656" t="str">
            <v>RESOLUCION</v>
          </cell>
          <cell r="G656">
            <v>883</v>
          </cell>
          <cell r="H656">
            <v>43140</v>
          </cell>
          <cell r="I656" t="str">
            <v>VUR de la actual vigencia de acuerdo con el Decreto 255 de 2013. LOCALIDAD: CIUDAD BOLIVAR; BARRIO: PARAISO QUIBA; ID: 2015-Q04-03692</v>
          </cell>
          <cell r="J656">
            <v>39062100</v>
          </cell>
          <cell r="K656">
            <v>0</v>
          </cell>
          <cell r="L656">
            <v>39062100</v>
          </cell>
          <cell r="M656">
            <v>39062100</v>
          </cell>
          <cell r="N656">
            <v>0</v>
          </cell>
        </row>
        <row r="657">
          <cell r="A657">
            <v>581</v>
          </cell>
          <cell r="B657">
            <v>1016</v>
          </cell>
          <cell r="C657">
            <v>43140</v>
          </cell>
          <cell r="D657" t="str">
            <v>ANGGIE JULIETH MARENTE BUSTOS</v>
          </cell>
          <cell r="E657">
            <v>31</v>
          </cell>
          <cell r="F657" t="str">
            <v>RESOLUCION</v>
          </cell>
          <cell r="G657">
            <v>767</v>
          </cell>
          <cell r="H657">
            <v>43140</v>
          </cell>
          <cell r="I657" t="str">
            <v>Asignacion del instrumento financiero a las familias ocupantes del predio que hayan superado la fase de verificacion dentro  del marco del Decreto 457 de 2017. LOCALIDAD: KENNEDY; BARRIO: VEREDITAS; ID: 2018-8-15017</v>
          </cell>
          <cell r="J657">
            <v>54686940</v>
          </cell>
          <cell r="K657">
            <v>0</v>
          </cell>
          <cell r="L657">
            <v>54686940</v>
          </cell>
          <cell r="M657">
            <v>54686940</v>
          </cell>
          <cell r="N657">
            <v>0</v>
          </cell>
        </row>
        <row r="658">
          <cell r="A658">
            <v>620</v>
          </cell>
          <cell r="B658">
            <v>1017</v>
          </cell>
          <cell r="C658">
            <v>43140</v>
          </cell>
          <cell r="D658" t="str">
            <v>BLANCA LEONOR AREVALO CAICEDO</v>
          </cell>
          <cell r="E658">
            <v>31</v>
          </cell>
          <cell r="F658" t="str">
            <v>RESOLUCION</v>
          </cell>
          <cell r="G658">
            <v>766</v>
          </cell>
          <cell r="H658">
            <v>43140</v>
          </cell>
          <cell r="I658" t="str">
            <v>Asignacion del instrumento financiero a las familias ocupantes del predio que hayan superado la fase de verificacion dentro  del marco del Decreto 457 de 2017. LOCALIDAD: KENNEDY; BARRIO: VEREDITAS; ID: 2018-8-383906</v>
          </cell>
          <cell r="J658">
            <v>54686940</v>
          </cell>
          <cell r="K658">
            <v>0</v>
          </cell>
          <cell r="L658">
            <v>54686940</v>
          </cell>
          <cell r="M658">
            <v>0</v>
          </cell>
          <cell r="N658">
            <v>54686940</v>
          </cell>
        </row>
        <row r="659">
          <cell r="A659">
            <v>592</v>
          </cell>
          <cell r="B659">
            <v>1018</v>
          </cell>
          <cell r="C659">
            <v>43140</v>
          </cell>
          <cell r="D659" t="str">
            <v>ANGELICA  CARO BERMUDEZ</v>
          </cell>
          <cell r="E659">
            <v>31</v>
          </cell>
          <cell r="F659" t="str">
            <v>RESOLUCION</v>
          </cell>
          <cell r="G659">
            <v>765</v>
          </cell>
          <cell r="H659">
            <v>43140</v>
          </cell>
          <cell r="I659" t="str">
            <v>Asignacion del instrumento financiero a las familias ocupantes del predio que hayan superado la fase de verificacion dentro  del marco del Decreto 457 de 2017. LOCALIDAD: KENNEDY; BARRIO: VEREDITAS; ID: 2018-8-383899</v>
          </cell>
          <cell r="J659">
            <v>54686940</v>
          </cell>
          <cell r="K659">
            <v>0</v>
          </cell>
          <cell r="L659">
            <v>54686940</v>
          </cell>
          <cell r="M659">
            <v>54686940</v>
          </cell>
          <cell r="N659">
            <v>0</v>
          </cell>
        </row>
        <row r="660">
          <cell r="A660">
            <v>582</v>
          </cell>
          <cell r="B660">
            <v>1020</v>
          </cell>
          <cell r="C660">
            <v>43140</v>
          </cell>
          <cell r="D660" t="str">
            <v>MARIA INES GALINDO CASTEBLANCO</v>
          </cell>
          <cell r="E660">
            <v>31</v>
          </cell>
          <cell r="F660" t="str">
            <v>RESOLUCION</v>
          </cell>
          <cell r="G660">
            <v>764</v>
          </cell>
          <cell r="H660">
            <v>43140</v>
          </cell>
          <cell r="I660" t="str">
            <v>Asignacion del instrumento financiero a las familias ocupantes del predio que hayan superado la fase de verificacion dentro  del marco del Decreto 457 de 2017. LOCALIDAD: KENNEDY; BARRIO: VEREDITAS; ID: 2017-8-383639</v>
          </cell>
          <cell r="J660">
            <v>54686940</v>
          </cell>
          <cell r="K660">
            <v>0</v>
          </cell>
          <cell r="L660">
            <v>54686940</v>
          </cell>
          <cell r="M660">
            <v>54686940</v>
          </cell>
          <cell r="N660">
            <v>0</v>
          </cell>
        </row>
        <row r="661">
          <cell r="A661">
            <v>483</v>
          </cell>
          <cell r="B661">
            <v>1022</v>
          </cell>
          <cell r="C661">
            <v>43140</v>
          </cell>
          <cell r="D661" t="str">
            <v>CAJA DE VIVIENDA POPULAR</v>
          </cell>
          <cell r="E661">
            <v>1</v>
          </cell>
          <cell r="F661" t="str">
            <v>RELACION DE AUTORIZACION</v>
          </cell>
          <cell r="G661">
            <v>13</v>
          </cell>
          <cell r="H661">
            <v>43140</v>
          </cell>
          <cell r="I661" t="str">
            <v>PAGO DE MI PLANILLA SEGURIDAD SOCIAL Y PARAFISCALES DE LA PLANTA TEMPORAL DE LA ENTIDAD DEL MES DE ENERO DE 2018 PROYECTO 3075</v>
          </cell>
          <cell r="J661">
            <v>40872400</v>
          </cell>
          <cell r="K661">
            <v>0</v>
          </cell>
          <cell r="L661">
            <v>40872400</v>
          </cell>
          <cell r="M661">
            <v>40872400</v>
          </cell>
          <cell r="N661">
            <v>0</v>
          </cell>
        </row>
        <row r="662">
          <cell r="A662">
            <v>580</v>
          </cell>
          <cell r="B662">
            <v>1023</v>
          </cell>
          <cell r="C662">
            <v>43140</v>
          </cell>
          <cell r="D662" t="str">
            <v>OLGA LUCIA MORALES RICO</v>
          </cell>
          <cell r="E662">
            <v>31</v>
          </cell>
          <cell r="F662" t="str">
            <v>RESOLUCION</v>
          </cell>
          <cell r="G662">
            <v>763</v>
          </cell>
          <cell r="H662">
            <v>43140</v>
          </cell>
          <cell r="I662" t="str">
            <v>Asignacion del instrumento financiero a las familias ocupantes del predio que hayan superado la fase de verificacion dentro  del marco del Decreto 457 de 2017. LOCALIDAD: KENNEDY; BARRIO: VEREDITAS; ID: 2017-8-383717</v>
          </cell>
          <cell r="J662">
            <v>54686940</v>
          </cell>
          <cell r="K662">
            <v>0</v>
          </cell>
          <cell r="L662">
            <v>54686940</v>
          </cell>
          <cell r="M662">
            <v>0</v>
          </cell>
          <cell r="N662">
            <v>54686940</v>
          </cell>
        </row>
        <row r="663">
          <cell r="A663">
            <v>574</v>
          </cell>
          <cell r="B663">
            <v>1024</v>
          </cell>
          <cell r="C663">
            <v>43140</v>
          </cell>
          <cell r="D663" t="str">
            <v>EDINSON  LOPEZ RODRIGUEZ</v>
          </cell>
          <cell r="E663">
            <v>31</v>
          </cell>
          <cell r="F663" t="str">
            <v>RESOLUCION</v>
          </cell>
          <cell r="G663">
            <v>760</v>
          </cell>
          <cell r="H663">
            <v>43140</v>
          </cell>
          <cell r="I663" t="str">
            <v>Asignacion del instrumento financiero a las familias ocupantes del predio que hayan superado la fase de verificacion dentro  del marco del Decreto 457 de 2017. LOCALIDAD: KENNEDY; BARRIO: VEREDITAS; ID: 2017-8-383895</v>
          </cell>
          <cell r="J663">
            <v>54686940</v>
          </cell>
          <cell r="K663">
            <v>0</v>
          </cell>
          <cell r="L663">
            <v>54686940</v>
          </cell>
          <cell r="M663">
            <v>54686940</v>
          </cell>
          <cell r="N663">
            <v>0</v>
          </cell>
        </row>
        <row r="664">
          <cell r="A664">
            <v>579</v>
          </cell>
          <cell r="B664">
            <v>1025</v>
          </cell>
          <cell r="C664">
            <v>43140</v>
          </cell>
          <cell r="D664" t="str">
            <v>EDWARD ANDRES MARENTE BUSTOS</v>
          </cell>
          <cell r="E664">
            <v>31</v>
          </cell>
          <cell r="F664" t="str">
            <v>RESOLUCION</v>
          </cell>
          <cell r="G664">
            <v>761</v>
          </cell>
          <cell r="H664">
            <v>43140</v>
          </cell>
          <cell r="I664" t="str">
            <v>Asignacion del instrumento financiero a las familias ocupantes del predio que hayan superado la fase de verificacion dentro  del marco del Decreto 457 de 2017. LOCALIDAD: KENNEDY; BARRIO: VEREDITAS; ID: 2018-8-15015</v>
          </cell>
          <cell r="J664">
            <v>54686940</v>
          </cell>
          <cell r="K664">
            <v>0</v>
          </cell>
          <cell r="L664">
            <v>54686940</v>
          </cell>
          <cell r="M664">
            <v>54686940</v>
          </cell>
          <cell r="N664">
            <v>0</v>
          </cell>
        </row>
        <row r="665">
          <cell r="A665">
            <v>586</v>
          </cell>
          <cell r="B665">
            <v>1026</v>
          </cell>
          <cell r="C665">
            <v>43140</v>
          </cell>
          <cell r="D665" t="str">
            <v>LIZETH PAOLA VILLA YAGUARA</v>
          </cell>
          <cell r="E665">
            <v>31</v>
          </cell>
          <cell r="F665" t="str">
            <v>RESOLUCION</v>
          </cell>
          <cell r="G665">
            <v>759</v>
          </cell>
          <cell r="H665">
            <v>43140</v>
          </cell>
          <cell r="I665" t="str">
            <v>Asignacion del instrumento financiero a las familias ocupantes del predio que hayan superado la fase de verificacion dentro  del marco del Decreto 457 de 2017. LOCALIDAD: KENNEDY; BARRIO: VEREDITAS; ID: 2017-8-383839</v>
          </cell>
          <cell r="J665">
            <v>54686940</v>
          </cell>
          <cell r="K665">
            <v>0</v>
          </cell>
          <cell r="L665">
            <v>54686940</v>
          </cell>
          <cell r="M665">
            <v>54686940</v>
          </cell>
          <cell r="N665">
            <v>0</v>
          </cell>
        </row>
        <row r="666">
          <cell r="A666">
            <v>482</v>
          </cell>
          <cell r="B666">
            <v>1027</v>
          </cell>
          <cell r="C666">
            <v>43140</v>
          </cell>
          <cell r="D666" t="str">
            <v>DOLORES  MUNAR DE LOMBANA</v>
          </cell>
          <cell r="E666">
            <v>31</v>
          </cell>
          <cell r="F666" t="str">
            <v>RESOLUCION</v>
          </cell>
          <cell r="G666">
            <v>757</v>
          </cell>
          <cell r="H666">
            <v>43140</v>
          </cell>
          <cell r="I666" t="str">
            <v>VUR de la actual vigencia de acuerdo con el Decreto 255 de 2013. LOCALIDAD: USAQUEN; BARRIO:CERRO NORTE; ID: 2006-1-9146</v>
          </cell>
          <cell r="J666">
            <v>39062100</v>
          </cell>
          <cell r="K666">
            <v>0</v>
          </cell>
          <cell r="L666">
            <v>39062100</v>
          </cell>
          <cell r="M666">
            <v>0</v>
          </cell>
          <cell r="N666">
            <v>39062100</v>
          </cell>
        </row>
        <row r="667">
          <cell r="A667">
            <v>395</v>
          </cell>
          <cell r="B667">
            <v>1030</v>
          </cell>
          <cell r="C667">
            <v>43143</v>
          </cell>
          <cell r="D667" t="str">
            <v>VICTOR JAVIER RODRIGUEZ GARZON</v>
          </cell>
          <cell r="E667">
            <v>31</v>
          </cell>
          <cell r="F667" t="str">
            <v>RESOLUCION</v>
          </cell>
          <cell r="G667">
            <v>680</v>
          </cell>
          <cell r="H667">
            <v>43143</v>
          </cell>
          <cell r="I667" t="str">
            <v>AYUDA TEMPORAL A LAS FAMILIAS DE VARIAS LOCALIDADES, PARA RELOCALIZACIÓN DE HOGARES LOCALIZADOS EN ZONAS DE ALTO RIESGO NO MITIGABLE ID:2012-18-14327, LOCALIDAD:18 RAFAEL URIBE URIBE, UPZ:55 DIANA TURBAY</v>
          </cell>
          <cell r="J667">
            <v>4986969</v>
          </cell>
          <cell r="K667">
            <v>0</v>
          </cell>
          <cell r="L667">
            <v>4986969</v>
          </cell>
          <cell r="M667">
            <v>1534452</v>
          </cell>
          <cell r="N667">
            <v>3452517</v>
          </cell>
        </row>
        <row r="668">
          <cell r="A668">
            <v>395</v>
          </cell>
          <cell r="B668">
            <v>1031</v>
          </cell>
          <cell r="C668">
            <v>43143</v>
          </cell>
          <cell r="D668" t="str">
            <v>ANA GLORIA GIRALDO ROJAS</v>
          </cell>
          <cell r="E668">
            <v>31</v>
          </cell>
          <cell r="F668" t="str">
            <v>RESOLUCION</v>
          </cell>
          <cell r="G668">
            <v>681</v>
          </cell>
          <cell r="H668">
            <v>43143</v>
          </cell>
          <cell r="I668" t="str">
            <v>AYUDA TEMPORAL A LAS FAMILIAS DE VARIAS LOCALIDADES, PARA RELOCALIZACIÓN DE HOGARES LOCALIZADOS EN ZONAS DE ALTO RIESGO NO MITIGABLE ID:2012-5-14149, LOCALIDAD:05 USME, UPZ:56 DANUBIO</v>
          </cell>
          <cell r="J668">
            <v>3094182</v>
          </cell>
          <cell r="K668">
            <v>0</v>
          </cell>
          <cell r="L668">
            <v>3094182</v>
          </cell>
          <cell r="M668">
            <v>1326078</v>
          </cell>
          <cell r="N668">
            <v>1768104</v>
          </cell>
        </row>
        <row r="669">
          <cell r="A669">
            <v>395</v>
          </cell>
          <cell r="B669">
            <v>1032</v>
          </cell>
          <cell r="C669">
            <v>43143</v>
          </cell>
          <cell r="D669" t="str">
            <v>GLORIA INES RICO BERNAL</v>
          </cell>
          <cell r="E669">
            <v>31</v>
          </cell>
          <cell r="F669" t="str">
            <v>RESOLUCION</v>
          </cell>
          <cell r="G669">
            <v>649</v>
          </cell>
          <cell r="H669">
            <v>43143</v>
          </cell>
          <cell r="I669" t="str">
            <v>AYUDA TEMPORAL A LAS FAMILIAS DE VARIAS LOCALIDADES, PARA RELOCALIZACIÓN DE HOGARES LOCALIZADOS EN ZONAS DE ALTO RIESGO NO MITIGABLE ID:2012-4-14203, LOCALIDAD:04 SAN CRISTÓBAL, UPZ:32 SAN BLAS, SECTOR:</v>
          </cell>
          <cell r="J669">
            <v>5598996</v>
          </cell>
          <cell r="K669">
            <v>0</v>
          </cell>
          <cell r="L669">
            <v>5598996</v>
          </cell>
          <cell r="M669">
            <v>1722768</v>
          </cell>
          <cell r="N669">
            <v>3876228</v>
          </cell>
        </row>
        <row r="670">
          <cell r="A670">
            <v>395</v>
          </cell>
          <cell r="B670">
            <v>1033</v>
          </cell>
          <cell r="C670">
            <v>43143</v>
          </cell>
          <cell r="D670" t="str">
            <v>MARTHA CECILIA LASSO MACHADO</v>
          </cell>
          <cell r="E670">
            <v>31</v>
          </cell>
          <cell r="F670" t="str">
            <v>RESOLUCION</v>
          </cell>
          <cell r="G670">
            <v>648</v>
          </cell>
          <cell r="H670">
            <v>43143</v>
          </cell>
          <cell r="I670" t="str">
            <v>AYUDA TEMPORAL A LAS FAMILIAS DE VARIAS LOCALIDADES, PARA RELOCALIZACIÓN DE HOGARES LOCALIZADOS EN ZONAS DE ALTO RIESGO NO MITIGABLE ID:2011-19-12867, LOCALIDAD:19 CIUDAD BOLÍVAR, UPZ:67 LUCERO, SECTOR:</v>
          </cell>
          <cell r="J670">
            <v>2924376</v>
          </cell>
          <cell r="K670">
            <v>0</v>
          </cell>
          <cell r="L670">
            <v>2924376</v>
          </cell>
          <cell r="M670">
            <v>1671072</v>
          </cell>
          <cell r="N670">
            <v>1253304</v>
          </cell>
        </row>
        <row r="671">
          <cell r="A671">
            <v>395</v>
          </cell>
          <cell r="B671">
            <v>1034</v>
          </cell>
          <cell r="C671">
            <v>43143</v>
          </cell>
          <cell r="D671" t="str">
            <v>FIDELIA  OTAVO</v>
          </cell>
          <cell r="E671">
            <v>31</v>
          </cell>
          <cell r="F671" t="str">
            <v>RESOLUCION</v>
          </cell>
          <cell r="G671">
            <v>682</v>
          </cell>
          <cell r="H671">
            <v>43143</v>
          </cell>
          <cell r="I671" t="str">
            <v>AYUDA TEMPORAL A LAS FAMILIAS DE VARIAS LOCALIDADES, PARA RELOCALIZACIÓN DE HOGARES LOCALIZADOS EN ZONAS DE ALTO RIESGO NO MITIGABLE ID:2011-19-13704, LOCALIDAD:19 CIUDAD BOLÍVAR, UPZ:67 LUCERO,</v>
          </cell>
          <cell r="J671">
            <v>2924376</v>
          </cell>
          <cell r="K671">
            <v>0</v>
          </cell>
          <cell r="L671">
            <v>2924376</v>
          </cell>
          <cell r="M671">
            <v>1671072</v>
          </cell>
          <cell r="N671">
            <v>1253304</v>
          </cell>
        </row>
        <row r="672">
          <cell r="A672">
            <v>395</v>
          </cell>
          <cell r="B672">
            <v>1035</v>
          </cell>
          <cell r="C672">
            <v>43143</v>
          </cell>
          <cell r="D672" t="str">
            <v>PEDRO ISMAEL RICO BERNAL</v>
          </cell>
          <cell r="E672">
            <v>31</v>
          </cell>
          <cell r="F672" t="str">
            <v>RESOLUCION</v>
          </cell>
          <cell r="G672">
            <v>620</v>
          </cell>
          <cell r="H672">
            <v>43143</v>
          </cell>
          <cell r="I672" t="str">
            <v>AYUDA TEMPORAL A LAS FAMILIAS DE VARIAS LOCALIDADES, PARA RELOCALIZACIÓN DE HOGARES LOCALIZADOS EN ZONAS DE ALTO RIESGO NO MITIGABLE ID:2012-4-14205, LOCALIDAD:04 SAN CRISTÓBAL, UPZ:32 SAN BLAS, SECTOR:</v>
          </cell>
          <cell r="J672">
            <v>4795154</v>
          </cell>
          <cell r="K672">
            <v>0</v>
          </cell>
          <cell r="L672">
            <v>4795154</v>
          </cell>
          <cell r="M672">
            <v>1475432</v>
          </cell>
          <cell r="N672">
            <v>3319722</v>
          </cell>
        </row>
        <row r="673">
          <cell r="A673">
            <v>395</v>
          </cell>
          <cell r="B673">
            <v>1036</v>
          </cell>
          <cell r="C673">
            <v>43143</v>
          </cell>
          <cell r="D673" t="str">
            <v>DIANA PAOLA ARIAS CASTILLO</v>
          </cell>
          <cell r="E673">
            <v>31</v>
          </cell>
          <cell r="F673" t="str">
            <v>RESOLUCION</v>
          </cell>
          <cell r="G673">
            <v>683</v>
          </cell>
          <cell r="H673">
            <v>43143</v>
          </cell>
          <cell r="I673" t="str">
            <v>AYUDA TEMPORAL A LAS FAMILIAS DE VARIAS LOCALIDADES, PARA RELOCALIZACIÓN DE HOGARES LOCALIZADOS EN ZONAS DE ALTO RIESGO NO MITIGABLE ID:2012-ALES-231, LOCALIDAD:19 CIUDAD BOLÍVAR, UPZ:69 ISMAEL PERDOMO</v>
          </cell>
          <cell r="J673">
            <v>3157315</v>
          </cell>
          <cell r="K673">
            <v>0</v>
          </cell>
          <cell r="L673">
            <v>3157315</v>
          </cell>
          <cell r="M673">
            <v>1804180</v>
          </cell>
          <cell r="N673">
            <v>1353135</v>
          </cell>
        </row>
        <row r="674">
          <cell r="A674">
            <v>395</v>
          </cell>
          <cell r="B674">
            <v>1037</v>
          </cell>
          <cell r="C674">
            <v>43143</v>
          </cell>
          <cell r="D674" t="str">
            <v>OLGA LUCIA GONZALEZ AREVALO</v>
          </cell>
          <cell r="E674">
            <v>31</v>
          </cell>
          <cell r="F674" t="str">
            <v>RESOLUCION</v>
          </cell>
          <cell r="G674">
            <v>621</v>
          </cell>
          <cell r="H674">
            <v>43143</v>
          </cell>
          <cell r="I674" t="str">
            <v>AYUDA TEMPORAL A LAS FAMILIAS DE VARIAS LOCALIDADES, PARA RELOCALIZACIÓN DE HOGARES LOCALIZADOS EN ZONAS DE ALTO RIESGO NO MITIGABLE ID:2003-19-5062, LOCALIDAD:19 CIUDAD BOLÍVAR, UPZ:69 ISMAEL PERDOMO, SECTOR:ALTOS DE LA ESTANCIA</v>
          </cell>
          <cell r="J674">
            <v>3383254</v>
          </cell>
          <cell r="K674">
            <v>0</v>
          </cell>
          <cell r="L674">
            <v>3383254</v>
          </cell>
          <cell r="M674">
            <v>1449966</v>
          </cell>
          <cell r="N674">
            <v>1933288</v>
          </cell>
        </row>
        <row r="675">
          <cell r="A675">
            <v>395</v>
          </cell>
          <cell r="B675">
            <v>1038</v>
          </cell>
          <cell r="C675">
            <v>43143</v>
          </cell>
          <cell r="D675" t="str">
            <v>ANA CRISTINA GONZALEZ ESTRADA</v>
          </cell>
          <cell r="E675">
            <v>31</v>
          </cell>
          <cell r="F675" t="str">
            <v>RESOLUCION</v>
          </cell>
          <cell r="G675">
            <v>622</v>
          </cell>
          <cell r="H675">
            <v>43143</v>
          </cell>
          <cell r="I675" t="str">
            <v>AYUDA TEMPORAL A LAS FAMILIAS DE VARIAS LOCALIDADES, PARA RELOCALIZACIÓN DE HOGARES LOCALIZADOS EN ZONAS DE ALTO RIESGO NO MITIGABLE ID:2011-4-12696, LOCALIDAD:04 SAN CRISTÓBAL, UPZ:32 SAN BLAS, SECTOR:</v>
          </cell>
          <cell r="J675">
            <v>2582006</v>
          </cell>
          <cell r="K675">
            <v>0</v>
          </cell>
          <cell r="L675">
            <v>2582006</v>
          </cell>
          <cell r="M675">
            <v>1475432</v>
          </cell>
          <cell r="N675">
            <v>1106574</v>
          </cell>
        </row>
        <row r="676">
          <cell r="A676">
            <v>395</v>
          </cell>
          <cell r="B676">
            <v>1039</v>
          </cell>
          <cell r="C676">
            <v>43143</v>
          </cell>
          <cell r="D676" t="str">
            <v>MARIA STELLA PEÑA VELOSA</v>
          </cell>
          <cell r="E676">
            <v>31</v>
          </cell>
          <cell r="F676" t="str">
            <v>RESOLUCION</v>
          </cell>
          <cell r="G676">
            <v>684</v>
          </cell>
          <cell r="H676">
            <v>43143</v>
          </cell>
          <cell r="I676" t="str">
            <v>AYUDA TEMPORAL A LAS FAMILIAS DE VARIAS LOCALIDADES, PARA RELOCALIZACIÓN DE HOGARES LOCALIZADOS EN ZONAS DE ALTO RIESGO NO MITIGABLE ID:2011-4-12659, LOCALIDAD:04 SAN CRISTÓBAL, UPZ:32 SAN BLAS.</v>
          </cell>
          <cell r="J676">
            <v>6233708</v>
          </cell>
          <cell r="K676">
            <v>0</v>
          </cell>
          <cell r="L676">
            <v>6233708</v>
          </cell>
          <cell r="M676">
            <v>1918064</v>
          </cell>
          <cell r="N676">
            <v>4315644</v>
          </cell>
        </row>
        <row r="677">
          <cell r="A677">
            <v>395</v>
          </cell>
          <cell r="B677">
            <v>1040</v>
          </cell>
          <cell r="C677">
            <v>43143</v>
          </cell>
          <cell r="D677" t="str">
            <v>MARTHA CECILIA RUBIO ALVIS</v>
          </cell>
          <cell r="E677">
            <v>31</v>
          </cell>
          <cell r="F677" t="str">
            <v>RESOLUCION</v>
          </cell>
          <cell r="G677">
            <v>623</v>
          </cell>
          <cell r="H677">
            <v>43143</v>
          </cell>
          <cell r="I677" t="str">
            <v>AYUDA TEMPORAL A LAS FAMILIAS DE VARIAS LOCALIDADES, PARA RELOCALIZACIÓN DE HOGARES LOCALIZADOS EN ZONAS DE ALTO RIESGO NO MITIGABLE ID:2015-Q09-03181, LOCALIDAD:19 CIUDAD BOLÍVAR, UPZ:68 EL TESORO, SECTOR:QUEBRADA TROMPETA</v>
          </cell>
          <cell r="J677">
            <v>6713226</v>
          </cell>
          <cell r="K677">
            <v>0</v>
          </cell>
          <cell r="L677">
            <v>6713226</v>
          </cell>
          <cell r="M677">
            <v>2065608</v>
          </cell>
          <cell r="N677">
            <v>4647618</v>
          </cell>
        </row>
        <row r="678">
          <cell r="A678">
            <v>395</v>
          </cell>
          <cell r="B678">
            <v>1041</v>
          </cell>
          <cell r="C678">
            <v>43143</v>
          </cell>
          <cell r="D678" t="str">
            <v>SANDRA MILENA LESMES RODRIGUEZ</v>
          </cell>
          <cell r="E678">
            <v>31</v>
          </cell>
          <cell r="F678" t="str">
            <v>RESOLUCION</v>
          </cell>
          <cell r="G678">
            <v>685</v>
          </cell>
          <cell r="H678">
            <v>43143</v>
          </cell>
          <cell r="I678" t="str">
            <v>AYUDA TEMPORAL A LAS FAMILIAS DE VARIAS LOCALIDADES, PARA RELOCALIZACIÓN DE HOGARES LOCALIZADOS EN ZONAS DE ALTO RIESGO NO MITIGABLE ID:2011-19-12628, LOCALIDAD:19 CIUDAD BOLÍVAR, UPZ:68 EL TESORO, SECTOR:OLA INVERNAL 2010 FOPAE</v>
          </cell>
          <cell r="J678">
            <v>2845920</v>
          </cell>
          <cell r="K678">
            <v>0</v>
          </cell>
          <cell r="L678">
            <v>2845920</v>
          </cell>
          <cell r="M678">
            <v>1626240</v>
          </cell>
          <cell r="N678">
            <v>1219680</v>
          </cell>
        </row>
        <row r="679">
          <cell r="A679">
            <v>395</v>
          </cell>
          <cell r="B679">
            <v>1042</v>
          </cell>
          <cell r="C679">
            <v>43143</v>
          </cell>
          <cell r="D679" t="str">
            <v>ADELA  BERMUDEZ FORERO</v>
          </cell>
          <cell r="E679">
            <v>31</v>
          </cell>
          <cell r="F679" t="str">
            <v>RESOLUCION</v>
          </cell>
          <cell r="G679">
            <v>686</v>
          </cell>
          <cell r="H679">
            <v>43143</v>
          </cell>
          <cell r="I679" t="str">
            <v>AYUDA TEMPORAL A LAS FAMILIAS DE VARIAS LOCALIDADES, PARA RELOCALIZACIÓN DE HOGARES LOCALIZADOS EN ZONAS DE ALTO RIESGO NO MITIGABLE ID:2016-08-14824, LOCALIDAD:08 KENNEDY, UPZ:82 PATIO BONITO, SECTOR:PALMITAS</v>
          </cell>
          <cell r="J679">
            <v>4986969</v>
          </cell>
          <cell r="K679">
            <v>0</v>
          </cell>
          <cell r="L679">
            <v>4986969</v>
          </cell>
          <cell r="M679">
            <v>1534452</v>
          </cell>
          <cell r="N679">
            <v>3452517</v>
          </cell>
        </row>
        <row r="680">
          <cell r="A680">
            <v>395</v>
          </cell>
          <cell r="B680">
            <v>1043</v>
          </cell>
          <cell r="C680">
            <v>43143</v>
          </cell>
          <cell r="D680" t="str">
            <v>HUMBERTO  LOZANO SILVA</v>
          </cell>
          <cell r="E680">
            <v>31</v>
          </cell>
          <cell r="F680" t="str">
            <v>RESOLUCION</v>
          </cell>
          <cell r="G680">
            <v>687</v>
          </cell>
          <cell r="H680">
            <v>43143</v>
          </cell>
          <cell r="I680" t="str">
            <v>AYUDA TEMPORAL A LAS FAMILIAS DE VARIAS LOCALIDADES, PARA RELOCALIZACIÓN DE HOGARES LOCALIZADOS EN ZONAS DE ALTO RIESGO NO MITIGABLE ID:2015-Q03-03386, LOCALIDAD:19 CIUDAD BOLÍVAR, UPZ:67 LUCERO, SECTOR:LIMAS</v>
          </cell>
          <cell r="J680">
            <v>5612594</v>
          </cell>
          <cell r="K680">
            <v>0</v>
          </cell>
          <cell r="L680">
            <v>5612594</v>
          </cell>
          <cell r="M680">
            <v>1726952</v>
          </cell>
          <cell r="N680">
            <v>3885642</v>
          </cell>
        </row>
        <row r="681">
          <cell r="A681">
            <v>395</v>
          </cell>
          <cell r="B681">
            <v>1044</v>
          </cell>
          <cell r="C681">
            <v>43143</v>
          </cell>
          <cell r="D681" t="str">
            <v>LUZ MARINA DIOSA RENDON</v>
          </cell>
          <cell r="E681">
            <v>31</v>
          </cell>
          <cell r="F681" t="str">
            <v>RESOLUCION</v>
          </cell>
          <cell r="G681">
            <v>624</v>
          </cell>
          <cell r="H681">
            <v>43143</v>
          </cell>
          <cell r="I681" t="str">
            <v>AYUDA TEMPORAL A LAS FAMILIAS DE VARIAS LOCALIDADES, PARA RELOCALIZACIÓN DE HOGARES LOCALIZADOS EN ZONAS DE ALTO RIESGO NO MITIGABLE ID:2014-Q21-00704, LOCALIDAD:19 CIUDAD BOLÍVAR, UPZ:67 LUCERO, SECTOR:PEÑA COLORADA</v>
          </cell>
          <cell r="J681">
            <v>920976</v>
          </cell>
          <cell r="K681">
            <v>460488</v>
          </cell>
          <cell r="L681">
            <v>460488</v>
          </cell>
          <cell r="M681">
            <v>460488</v>
          </cell>
          <cell r="N681">
            <v>0</v>
          </cell>
        </row>
        <row r="682">
          <cell r="A682">
            <v>395</v>
          </cell>
          <cell r="B682">
            <v>1045</v>
          </cell>
          <cell r="C682">
            <v>43143</v>
          </cell>
          <cell r="D682" t="str">
            <v>MARIA INES MARTINEZ PINTO</v>
          </cell>
          <cell r="E682">
            <v>31</v>
          </cell>
          <cell r="F682" t="str">
            <v>RESOLUCION</v>
          </cell>
          <cell r="G682">
            <v>688</v>
          </cell>
          <cell r="H682">
            <v>43143</v>
          </cell>
          <cell r="I682" t="str">
            <v>AYUDA TEMPORAL A LAS FAMILIAS DE VARIAS LOCALIDADES, PARA RELOCALIZACIÓN DE HOGARES LOCALIZADOS EN ZONAS DE ALTO RIESGO NO MITIGABLE ID:2013000530, LOCALIDAD:19 CIUDAD BOLÍVAR, UPZ:67 LUCERO, SECTOR:QUEBRADA TROMPETA</v>
          </cell>
          <cell r="J682">
            <v>6721000</v>
          </cell>
          <cell r="K682">
            <v>0</v>
          </cell>
          <cell r="L682">
            <v>6721000</v>
          </cell>
          <cell r="M682">
            <v>2068000</v>
          </cell>
          <cell r="N682">
            <v>4653000</v>
          </cell>
        </row>
        <row r="683">
          <cell r="A683">
            <v>395</v>
          </cell>
          <cell r="B683">
            <v>1046</v>
          </cell>
          <cell r="C683">
            <v>43143</v>
          </cell>
          <cell r="D683" t="str">
            <v>ANADELIA  MELO JOYA</v>
          </cell>
          <cell r="E683">
            <v>31</v>
          </cell>
          <cell r="F683" t="str">
            <v>RESOLUCION</v>
          </cell>
          <cell r="G683">
            <v>652</v>
          </cell>
          <cell r="H683">
            <v>43143</v>
          </cell>
          <cell r="I683" t="str">
            <v>AYUDA TEMPORAL A LAS FAMILIAS DE VARIAS LOCALIDADES, PARA RELOCALIZACIÓN DE HOGARES LOCALIZADOS EN ZONAS DE ALTO RIESGO NO MITIGABLE ID:2003-19-5220, LOCALIDAD:19 CIUDAD BOLÍVAR, UPZ:69 ISMAEL PERDOMO, SECTOR:ALTOS DE LA ESTANCIA</v>
          </cell>
          <cell r="J683">
            <v>3363507</v>
          </cell>
          <cell r="K683">
            <v>0</v>
          </cell>
          <cell r="L683">
            <v>3363507</v>
          </cell>
          <cell r="M683">
            <v>1922004</v>
          </cell>
          <cell r="N683">
            <v>1441503</v>
          </cell>
        </row>
        <row r="684">
          <cell r="A684">
            <v>395</v>
          </cell>
          <cell r="B684">
            <v>1047</v>
          </cell>
          <cell r="C684">
            <v>43143</v>
          </cell>
          <cell r="D684" t="str">
            <v>LUZ MARINA DIOSA RENDON</v>
          </cell>
          <cell r="E684">
            <v>31</v>
          </cell>
          <cell r="F684" t="str">
            <v>RESOLUCION</v>
          </cell>
          <cell r="G684">
            <v>625</v>
          </cell>
          <cell r="H684">
            <v>43143</v>
          </cell>
          <cell r="I684" t="str">
            <v>AYUDA TEMPORAL A LAS FAMILIAS DE VARIAS LOCALIDADES, PARA RELOCALIZACIÓN DE HOGARES LOCALIZADOS EN ZONAS DE ALTO RIESGO NO MITIGABLE ID:2014-Q21-00704, LOCALIDAD:19 CIUDAD BOLÍVAR, UPZ:67 LUCERO, SECTOR:PEÑA COLORADA</v>
          </cell>
          <cell r="J684">
            <v>5525856</v>
          </cell>
          <cell r="K684">
            <v>0</v>
          </cell>
          <cell r="L684">
            <v>5525856</v>
          </cell>
          <cell r="M684">
            <v>1381464</v>
          </cell>
          <cell r="N684">
            <v>4144392</v>
          </cell>
        </row>
        <row r="685">
          <cell r="A685">
            <v>395</v>
          </cell>
          <cell r="B685">
            <v>1048</v>
          </cell>
          <cell r="C685">
            <v>43143</v>
          </cell>
          <cell r="D685" t="str">
            <v>BARBARA  BOHORQUEZ CABALLERO</v>
          </cell>
          <cell r="E685">
            <v>31</v>
          </cell>
          <cell r="F685" t="str">
            <v>RESOLUCION</v>
          </cell>
          <cell r="G685">
            <v>689</v>
          </cell>
          <cell r="H685">
            <v>43143</v>
          </cell>
          <cell r="I685" t="str">
            <v>AYUDA TEMPORAL A LAS FAMILIAS DE VARIAS LOCALIDADES, PARA RELOCALIZACIÓN DE HOGARES LOCALIZADOS EN ZONAS DE ALTO RIESGO NO MITIGABLE ID:2004-5-5564, LOCALIDAD:05 USME, UPZ:57 GRAN YOMASA,</v>
          </cell>
          <cell r="J685">
            <v>3523107</v>
          </cell>
          <cell r="K685">
            <v>2516505</v>
          </cell>
          <cell r="L685">
            <v>1006602</v>
          </cell>
          <cell r="M685">
            <v>1006602</v>
          </cell>
          <cell r="N685">
            <v>0</v>
          </cell>
        </row>
        <row r="686">
          <cell r="A686">
            <v>395</v>
          </cell>
          <cell r="B686">
            <v>1049</v>
          </cell>
          <cell r="C686">
            <v>43143</v>
          </cell>
          <cell r="D686" t="str">
            <v>ARACELY  ARCE AGUDELO</v>
          </cell>
          <cell r="E686">
            <v>31</v>
          </cell>
          <cell r="F686" t="str">
            <v>RESOLUCION</v>
          </cell>
          <cell r="G686">
            <v>653</v>
          </cell>
          <cell r="H686">
            <v>43143</v>
          </cell>
          <cell r="I686" t="str">
            <v>AYUDA TEMPORAL A LAS FAMILIAS DE VARIAS LOCALIDADES, PARA RELOCALIZACIÓN DE HOGARES LOCALIZADOS EN ZONAS DE ALTO RIESGO NO MITIGABLE ID:2013000473, LOCALIDAD:19 CIUDAD BOLÍVAR, UPZ:67 LUCERO, SECTOR:QUEBRADA TROMPETA</v>
          </cell>
          <cell r="J686">
            <v>3017000</v>
          </cell>
          <cell r="K686">
            <v>0</v>
          </cell>
          <cell r="L686">
            <v>3017000</v>
          </cell>
          <cell r="M686">
            <v>1724000</v>
          </cell>
          <cell r="N686">
            <v>1293000</v>
          </cell>
        </row>
        <row r="687">
          <cell r="A687">
            <v>395</v>
          </cell>
          <cell r="B687">
            <v>1050</v>
          </cell>
          <cell r="C687">
            <v>43143</v>
          </cell>
          <cell r="D687" t="str">
            <v>ALBERTO  CARDONA</v>
          </cell>
          <cell r="E687">
            <v>31</v>
          </cell>
          <cell r="F687" t="str">
            <v>RESOLUCION</v>
          </cell>
          <cell r="G687">
            <v>626</v>
          </cell>
          <cell r="H687">
            <v>43143</v>
          </cell>
          <cell r="I687" t="str">
            <v>AYUDA TEMPORAL A LAS FAMILIAS DE VARIAS LOCALIDADES, PARA RELOCALIZACIÓN DE HOGARES LOCALIZADOS EN ZONAS DE ALTO RIESGO NO MITIGABLE ID:2007-4-9373, LOCALIDAD:04 SAN CRISTÓBAL, UPZ:32 SAN BLAS, SECTOR:</v>
          </cell>
          <cell r="J687">
            <v>2582006</v>
          </cell>
          <cell r="K687">
            <v>0</v>
          </cell>
          <cell r="L687">
            <v>2582006</v>
          </cell>
          <cell r="M687">
            <v>1475432</v>
          </cell>
          <cell r="N687">
            <v>1106574</v>
          </cell>
        </row>
        <row r="688">
          <cell r="A688">
            <v>395</v>
          </cell>
          <cell r="B688">
            <v>1051</v>
          </cell>
          <cell r="C688">
            <v>43143</v>
          </cell>
          <cell r="D688" t="str">
            <v>HILDA MARLENY PEREZ</v>
          </cell>
          <cell r="E688">
            <v>31</v>
          </cell>
          <cell r="F688" t="str">
            <v>RESOLUCION</v>
          </cell>
          <cell r="G688">
            <v>654</v>
          </cell>
          <cell r="H688">
            <v>43143</v>
          </cell>
          <cell r="I688" t="str">
            <v>AYUDA TEMPORAL A LAS FAMILIAS DE VARIAS LOCALIDADES, PARA RELOCALIZACIÓN DE HOGARES LOCALIZADOS EN ZONAS DE ALTO RIESGO NO MITIGABLE ID:2013000267, LOCALIDAD:04 SAN CRISTÓBAL, UPZ:51 LOS LIBERTADORES, SECTOR:QUEBRADA VEREJONES</v>
          </cell>
          <cell r="J688">
            <v>5780541</v>
          </cell>
          <cell r="K688">
            <v>0</v>
          </cell>
          <cell r="L688">
            <v>5780541</v>
          </cell>
          <cell r="M688">
            <v>1778628</v>
          </cell>
          <cell r="N688">
            <v>4001913</v>
          </cell>
        </row>
        <row r="689">
          <cell r="A689">
            <v>395</v>
          </cell>
          <cell r="B689">
            <v>1052</v>
          </cell>
          <cell r="C689">
            <v>43143</v>
          </cell>
          <cell r="D689" t="str">
            <v>YURY GISELL BERMUDEZ FORERO</v>
          </cell>
          <cell r="E689">
            <v>31</v>
          </cell>
          <cell r="F689" t="str">
            <v>RESOLUCION</v>
          </cell>
          <cell r="G689">
            <v>690</v>
          </cell>
          <cell r="H689">
            <v>43143</v>
          </cell>
          <cell r="I689" t="str">
            <v>AYUDA TEMPORAL A LAS FAMILIAS DE VARIAS LOCALIDADES, PARA RELOCALIZACIÓN DE HOGARES LOCALIZADOS EN ZONAS DE ALTO RIESGO NO MITIGABLE ID:2016-08-14813, LOCALIDAD:08 KENNEDY, UPZ:82 PATIO BONITO, SECTOR:PALMITAS</v>
          </cell>
          <cell r="J689">
            <v>4929600</v>
          </cell>
          <cell r="K689">
            <v>0</v>
          </cell>
          <cell r="L689">
            <v>4929600</v>
          </cell>
          <cell r="M689">
            <v>1516800</v>
          </cell>
          <cell r="N689">
            <v>3412800</v>
          </cell>
        </row>
        <row r="690">
          <cell r="A690">
            <v>395</v>
          </cell>
          <cell r="B690">
            <v>1053</v>
          </cell>
          <cell r="C690">
            <v>43143</v>
          </cell>
          <cell r="D690" t="str">
            <v>ALEXANDER JOAQUIN RODRIGUEZ LOPEZ</v>
          </cell>
          <cell r="E690">
            <v>31</v>
          </cell>
          <cell r="F690" t="str">
            <v>RESOLUCION</v>
          </cell>
          <cell r="G690">
            <v>627</v>
          </cell>
          <cell r="H690">
            <v>43143</v>
          </cell>
          <cell r="I690" t="str">
            <v>AYUDA TEMPORAL A LAS FAMILIAS DE VARIAS LOCALIDADES, PARA RELOCALIZACIÓN DE HOGARES LOCALIZADOS EN ZONAS DE ALTO RIESGO NO MITIGABLE ID:2014-Q03-01109, LOCALIDAD:19 CIUDAD BOLÍVAR, UPZ:66 SAN FRANCISCO, SECTOR:LIMAS</v>
          </cell>
          <cell r="J690">
            <v>3157315</v>
          </cell>
          <cell r="K690">
            <v>0</v>
          </cell>
          <cell r="L690">
            <v>3157315</v>
          </cell>
          <cell r="M690">
            <v>1804180</v>
          </cell>
          <cell r="N690">
            <v>1353135</v>
          </cell>
        </row>
        <row r="691">
          <cell r="A691">
            <v>395</v>
          </cell>
          <cell r="B691">
            <v>1054</v>
          </cell>
          <cell r="C691">
            <v>43143</v>
          </cell>
          <cell r="D691" t="str">
            <v>JESUS LIBORIO GONZALEZ GALEANO</v>
          </cell>
          <cell r="E691">
            <v>31</v>
          </cell>
          <cell r="F691" t="str">
            <v>RESOLUCION</v>
          </cell>
          <cell r="G691">
            <v>655</v>
          </cell>
          <cell r="H691">
            <v>43143</v>
          </cell>
          <cell r="I691" t="str">
            <v>AYUDA TEMPORAL A LAS FAMILIAS DE VARIAS LOCALIDADES, PARA RELOCALIZACIÓN DE HOGARES LOCALIZADOS EN ZONAS DE ALTO RIESGO NO MITIGABLE ID:2012-ALES-65, LOCALIDAD:19 CIUDAD BOLÍVAR, UPZ:69 ISMAEL PERDOMO, SECTOR:ALTOS DE LA ESTANCIA</v>
          </cell>
          <cell r="J691">
            <v>4329855</v>
          </cell>
          <cell r="K691">
            <v>0</v>
          </cell>
          <cell r="L691">
            <v>4329855</v>
          </cell>
          <cell r="M691">
            <v>1924380</v>
          </cell>
          <cell r="N691">
            <v>2405475</v>
          </cell>
        </row>
        <row r="692">
          <cell r="A692">
            <v>395</v>
          </cell>
          <cell r="B692">
            <v>1055</v>
          </cell>
          <cell r="C692">
            <v>43143</v>
          </cell>
          <cell r="D692" t="str">
            <v>ALVARO  GUTIERREZ ARTUNDUAGA</v>
          </cell>
          <cell r="E692">
            <v>31</v>
          </cell>
          <cell r="F692" t="str">
            <v>RESOLUCION</v>
          </cell>
          <cell r="G692">
            <v>628</v>
          </cell>
          <cell r="H692">
            <v>43143</v>
          </cell>
          <cell r="I692" t="str">
            <v>AYUDA TEMPORAL A LAS FAMILIAS DE VARIAS LOCALIDADES, PARA RELOCALIZACIÓN DE HOGARES LOCALIZADOS EN ZONAS DE ALTO RIESGO NO MITIGABLE ID:2013000411, LOCALIDAD:04 SAN CRISTÓBAL, UPZ:51 LOS LIBERTADORES, SECTOR:QUEBRADA VEREJONES</v>
          </cell>
          <cell r="J692">
            <v>3038112</v>
          </cell>
          <cell r="K692">
            <v>0</v>
          </cell>
          <cell r="L692">
            <v>3038112</v>
          </cell>
          <cell r="M692">
            <v>1736064</v>
          </cell>
          <cell r="N692">
            <v>1302048</v>
          </cell>
        </row>
        <row r="693">
          <cell r="A693">
            <v>395</v>
          </cell>
          <cell r="B693">
            <v>1056</v>
          </cell>
          <cell r="C693">
            <v>43143</v>
          </cell>
          <cell r="D693" t="str">
            <v>ELIZABETH  VEGA PARRA</v>
          </cell>
          <cell r="E693">
            <v>31</v>
          </cell>
          <cell r="F693" t="str">
            <v>RESOLUCION</v>
          </cell>
          <cell r="G693">
            <v>691</v>
          </cell>
          <cell r="H693">
            <v>43143</v>
          </cell>
          <cell r="I693" t="str">
            <v>AYUDA TEMPORAL A LAS FAMILIAS DE VARIAS LOCALIDADES, PARA RELOCALIZACIÓN DE HOGARES LOCALIZADOS EN ZONAS DE ALTO RIESGO NO MITIGABLE ID:2012-18-14356, LOCALIDAD:18 RAFAEL URIBE URIBE, UPZ:55 DIANA TURBAY, SECTOR:</v>
          </cell>
          <cell r="J693">
            <v>6713226</v>
          </cell>
          <cell r="K693">
            <v>0</v>
          </cell>
          <cell r="L693">
            <v>6713226</v>
          </cell>
          <cell r="M693">
            <v>2065608</v>
          </cell>
          <cell r="N693">
            <v>4647618</v>
          </cell>
        </row>
        <row r="694">
          <cell r="A694">
            <v>395</v>
          </cell>
          <cell r="B694">
            <v>1057</v>
          </cell>
          <cell r="C694">
            <v>43143</v>
          </cell>
          <cell r="D694" t="str">
            <v>YUDI KATERINE RAMIREZ RODRIGUEZ</v>
          </cell>
          <cell r="E694">
            <v>31</v>
          </cell>
          <cell r="F694" t="str">
            <v>RESOLUCION</v>
          </cell>
          <cell r="G694">
            <v>656</v>
          </cell>
          <cell r="H694">
            <v>43143</v>
          </cell>
          <cell r="I694" t="str">
            <v>AYUDA TEMPORAL A LAS FAMILIAS DE VARIAS LOCALIDADES, PARA RELOCALIZACIÓN DE HOGARES LOCALIZADOS EN ZONAS DE ALTO RIESGO NO MITIGABLE ID:2014-OTR-00882, LOCALIDAD:03 SANTA FE, UPZ:96 LOURDES, SECTOR:CASA 2</v>
          </cell>
          <cell r="J694">
            <v>3518186</v>
          </cell>
          <cell r="K694">
            <v>0</v>
          </cell>
          <cell r="L694">
            <v>3518186</v>
          </cell>
          <cell r="M694">
            <v>2010392</v>
          </cell>
          <cell r="N694">
            <v>1507794</v>
          </cell>
        </row>
        <row r="695">
          <cell r="A695">
            <v>395</v>
          </cell>
          <cell r="B695">
            <v>1058</v>
          </cell>
          <cell r="C695">
            <v>43143</v>
          </cell>
          <cell r="D695" t="str">
            <v>MARINELA  GAONA GONZALEZ</v>
          </cell>
          <cell r="E695">
            <v>31</v>
          </cell>
          <cell r="F695" t="str">
            <v>RESOLUCION</v>
          </cell>
          <cell r="G695">
            <v>629</v>
          </cell>
          <cell r="H695">
            <v>43143</v>
          </cell>
          <cell r="I695" t="str">
            <v>AYUDA TEMPORAL A LAS FAMILIAS DE VARIAS LOCALIDADES, PARA RELOCALIZACIÓN DE HOGARES LOCALIZADOS EN ZONAS DE ALTO RIESGO NO MITIGABLE ID:2012-4-14293, LOCALIDAD:04 SAN CRISTÓBAL, UPZ:50 LA GLORIA, SECTOR:</v>
          </cell>
          <cell r="J695">
            <v>3017000</v>
          </cell>
          <cell r="K695">
            <v>0</v>
          </cell>
          <cell r="L695">
            <v>3017000</v>
          </cell>
          <cell r="M695">
            <v>1724000</v>
          </cell>
          <cell r="N695">
            <v>1293000</v>
          </cell>
        </row>
        <row r="696">
          <cell r="A696">
            <v>395</v>
          </cell>
          <cell r="B696">
            <v>1059</v>
          </cell>
          <cell r="C696">
            <v>43143</v>
          </cell>
          <cell r="D696" t="str">
            <v>VICTORIA EUGENIA BENITEZ BASTIDAS</v>
          </cell>
          <cell r="E696">
            <v>31</v>
          </cell>
          <cell r="F696" t="str">
            <v>RESOLUCION</v>
          </cell>
          <cell r="G696">
            <v>657</v>
          </cell>
          <cell r="H696">
            <v>43143</v>
          </cell>
          <cell r="I696" t="str">
            <v>AYUDA TEMPORAL A LAS FAMILIAS DE VARIAS LOCALIDADES, PARA RELOCALIZACIÓN DE HOGARES LOCALIZADOS EN ZONAS DE ALTO RIESGO NO MITIGABLE ID:2012-19-14380, LOCALIDAD:19 CIUDAD BOLÍVAR, UPZ:68 EL TESORO</v>
          </cell>
          <cell r="J696">
            <v>3698947</v>
          </cell>
          <cell r="K696">
            <v>0</v>
          </cell>
          <cell r="L696">
            <v>3698947</v>
          </cell>
          <cell r="M696">
            <v>2113684</v>
          </cell>
          <cell r="N696">
            <v>1585263</v>
          </cell>
        </row>
        <row r="697">
          <cell r="A697">
            <v>395</v>
          </cell>
          <cell r="B697">
            <v>1060</v>
          </cell>
          <cell r="C697">
            <v>43143</v>
          </cell>
          <cell r="D697" t="str">
            <v>MYRIAM JACQUELINE ABRIL CRUZ</v>
          </cell>
          <cell r="E697">
            <v>31</v>
          </cell>
          <cell r="F697" t="str">
            <v>RESOLUCION</v>
          </cell>
          <cell r="G697">
            <v>692</v>
          </cell>
          <cell r="H697">
            <v>43143</v>
          </cell>
          <cell r="I697" t="str">
            <v>AYUDA TEMPORAL A LAS FAMILIAS DE VARIAS LOCALIDADES, PARA RELOCALIZACIÓN DE HOGARES LOCALIZADOS EN ZONAS DE ALTO RIESGO NO MITIGABLE ID:2012-18-14319, LOCALIDAD:18 RAFAEL URIBE URIBE, UPZ:55 DIANA TURBAY,</v>
          </cell>
          <cell r="J697">
            <v>3094182</v>
          </cell>
          <cell r="K697">
            <v>0</v>
          </cell>
          <cell r="L697">
            <v>3094182</v>
          </cell>
          <cell r="M697">
            <v>1768104</v>
          </cell>
          <cell r="N697">
            <v>1326078</v>
          </cell>
        </row>
        <row r="698">
          <cell r="A698">
            <v>395</v>
          </cell>
          <cell r="B698">
            <v>1061</v>
          </cell>
          <cell r="C698">
            <v>43143</v>
          </cell>
          <cell r="D698" t="str">
            <v>ERIKA STELLA RIOS WILCHES</v>
          </cell>
          <cell r="E698">
            <v>31</v>
          </cell>
          <cell r="F698" t="str">
            <v>RESOLUCION</v>
          </cell>
          <cell r="G698">
            <v>658</v>
          </cell>
          <cell r="H698">
            <v>43143</v>
          </cell>
          <cell r="I698" t="str">
            <v>AYUDA TEMPORAL A LAS FAMILIAS DE VARIAS LOCALIDADES, PARA RELOCALIZACIÓN DE HOGARES LOCALIZADOS EN ZONAS DE ALTO RIESGO NO MITIGABLE ID:2011-19-13384, LOCALIDAD:19 CIUDAD BOLÍVAR, UPZ:68 EL TESORO.</v>
          </cell>
          <cell r="J698">
            <v>5754190</v>
          </cell>
          <cell r="K698">
            <v>0</v>
          </cell>
          <cell r="L698">
            <v>5754190</v>
          </cell>
          <cell r="M698">
            <v>1770520</v>
          </cell>
          <cell r="N698">
            <v>3983670</v>
          </cell>
        </row>
        <row r="699">
          <cell r="A699">
            <v>395</v>
          </cell>
          <cell r="B699">
            <v>1062</v>
          </cell>
          <cell r="C699">
            <v>43143</v>
          </cell>
          <cell r="D699" t="str">
            <v>ALBA MARINA ARIAS DIAZ</v>
          </cell>
          <cell r="E699">
            <v>31</v>
          </cell>
          <cell r="F699" t="str">
            <v>RESOLUCION</v>
          </cell>
          <cell r="G699">
            <v>693</v>
          </cell>
          <cell r="H699">
            <v>43143</v>
          </cell>
          <cell r="I699" t="str">
            <v>AYUDA TEMPORAL A LAS FAMILIAS DE VARIAS LOCALIDADES, PARA RELOCALIZACIÓN DE HOGARES LOCALIZADOS EN ZONAS DE ALTO RIESGO NO MITIGABLE ID:2016-08-14804, LOCALIDAD:08 KENNEDY, UPZ:82 PATIO BONITO, SECTOR:PALMITAS</v>
          </cell>
          <cell r="J699">
            <v>7480447</v>
          </cell>
          <cell r="K699">
            <v>0</v>
          </cell>
          <cell r="L699">
            <v>7480447</v>
          </cell>
          <cell r="M699">
            <v>2301676</v>
          </cell>
          <cell r="N699">
            <v>5178771</v>
          </cell>
        </row>
        <row r="700">
          <cell r="A700">
            <v>395</v>
          </cell>
          <cell r="B700">
            <v>1063</v>
          </cell>
          <cell r="C700">
            <v>43143</v>
          </cell>
          <cell r="D700" t="str">
            <v>LUIS ALBERTO URREA LEMUS</v>
          </cell>
          <cell r="E700">
            <v>31</v>
          </cell>
          <cell r="F700" t="str">
            <v>RESOLUCION</v>
          </cell>
          <cell r="G700">
            <v>650</v>
          </cell>
          <cell r="H700">
            <v>43143</v>
          </cell>
          <cell r="I700" t="str">
            <v>AYUDA TEMPORAL A LAS FAMILIAS DE VARIAS LOCALIDADES, PARA RELOCALIZACIÓN DE HOGARES LOCALIZADOS EN ZONAS DE ALTO RIESGO NO MITIGABLE ID:2013-Q21-00354, LOCALIDAD:19 CIUDAD BOLÍVAR, UPZ:67 LUCERO, SECTOR:BRAZO DERECHO DE LIMAS</v>
          </cell>
          <cell r="J700">
            <v>2586752</v>
          </cell>
          <cell r="K700">
            <v>0</v>
          </cell>
          <cell r="L700">
            <v>2586752</v>
          </cell>
          <cell r="M700">
            <v>1478144</v>
          </cell>
          <cell r="N700">
            <v>1108608</v>
          </cell>
        </row>
        <row r="701">
          <cell r="A701">
            <v>395</v>
          </cell>
          <cell r="B701">
            <v>1064</v>
          </cell>
          <cell r="C701">
            <v>43143</v>
          </cell>
          <cell r="D701" t="str">
            <v>JOSE BERCELI MOSUCHA MOYA</v>
          </cell>
          <cell r="E701">
            <v>31</v>
          </cell>
          <cell r="F701" t="str">
            <v>RESOLUCION</v>
          </cell>
          <cell r="G701">
            <v>651</v>
          </cell>
          <cell r="H701">
            <v>43143</v>
          </cell>
          <cell r="I701" t="str">
            <v>AYUDA TEMPORAL A LAS FAMILIAS DE VARIAS LOCALIDADES, PARA RELOCALIZACIÓN DE HOGARES LOCALIZADOS EN ZONAS DE ALTO RIESGO NO MITIGABLE ID:2013-Q22-00622, LOCALIDAD:04 SAN CRISTÓBAL, UPZ:32 SAN BLAS, SECTOR:FUCHA</v>
          </cell>
          <cell r="J701">
            <v>3713850</v>
          </cell>
          <cell r="K701">
            <v>0</v>
          </cell>
          <cell r="L701">
            <v>3713850</v>
          </cell>
          <cell r="M701">
            <v>1591650</v>
          </cell>
          <cell r="N701">
            <v>2122200</v>
          </cell>
        </row>
        <row r="702">
          <cell r="A702">
            <v>395</v>
          </cell>
          <cell r="B702">
            <v>1065</v>
          </cell>
          <cell r="C702">
            <v>43143</v>
          </cell>
          <cell r="D702" t="str">
            <v>JOSE LEONARDO LOZANO GUTIERREZ</v>
          </cell>
          <cell r="E702">
            <v>31</v>
          </cell>
          <cell r="F702" t="str">
            <v>RESOLUCION</v>
          </cell>
          <cell r="G702">
            <v>659</v>
          </cell>
          <cell r="H702">
            <v>43143</v>
          </cell>
          <cell r="I702" t="str">
            <v>AYUDA TEMPORAL A LAS FAMILIAS DE VARIAS LOCALIDADES, PARA RELOCALIZACIÓN DE HOGARES LOCALIZADOS EN ZONAS DE ALTO RIESGO NO MITIGABLE ID:2013000321, LOCALIDAD:19 CIUDAD BOLÍVAR, UPZ:67 LUCERO, SECTOR:PEÑA COLORADA</v>
          </cell>
          <cell r="J702">
            <v>3463215</v>
          </cell>
          <cell r="K702">
            <v>0</v>
          </cell>
          <cell r="L702">
            <v>3463215</v>
          </cell>
          <cell r="M702">
            <v>1978980</v>
          </cell>
          <cell r="N702">
            <v>1484235</v>
          </cell>
        </row>
        <row r="703">
          <cell r="A703">
            <v>395</v>
          </cell>
          <cell r="B703">
            <v>1066</v>
          </cell>
          <cell r="C703">
            <v>43143</v>
          </cell>
          <cell r="D703" t="str">
            <v>JEINNY ANDREA NAVARRETE</v>
          </cell>
          <cell r="E703">
            <v>31</v>
          </cell>
          <cell r="F703" t="str">
            <v>RESOLUCION</v>
          </cell>
          <cell r="G703">
            <v>694</v>
          </cell>
          <cell r="H703">
            <v>43143</v>
          </cell>
          <cell r="I703" t="str">
            <v>AYUDA TEMPORAL A LAS FAMILIAS DE VARIAS LOCALIDADES, PARA RELOCALIZACIÓN DE HOGARES LOCALIZADOS EN ZONAS DE ALTO RIESGO NO MITIGABLE ID:2014-OTR-00898, LOCALIDAD:03 SANTA FE, UPZ:96 LOURDES, SECTOR:CASA 3</v>
          </cell>
          <cell r="J703">
            <v>2582006</v>
          </cell>
          <cell r="K703">
            <v>0</v>
          </cell>
          <cell r="L703">
            <v>2582006</v>
          </cell>
          <cell r="M703">
            <v>1475432</v>
          </cell>
          <cell r="N703">
            <v>1106574</v>
          </cell>
        </row>
        <row r="704">
          <cell r="A704">
            <v>395</v>
          </cell>
          <cell r="B704">
            <v>1067</v>
          </cell>
          <cell r="C704">
            <v>43143</v>
          </cell>
          <cell r="D704" t="str">
            <v>DIEGO LEONARDO PEÑA PEÑA</v>
          </cell>
          <cell r="E704">
            <v>31</v>
          </cell>
          <cell r="F704" t="str">
            <v>RESOLUCION</v>
          </cell>
          <cell r="G704">
            <v>708</v>
          </cell>
          <cell r="H704">
            <v>43143</v>
          </cell>
          <cell r="I704" t="str">
            <v>AYUDA TEMPORAL A LAS FAMILIAS DE VARIAS LOCALIDADES, PARA RELOCALIZACIÓN DE HOGARES LOCALIZADOS EN ZONAS DE ALTO RIESGO NO MITIGABLE ID:2016-08-14791, LOCALIDAD:08 KENNEDY, UPZ:82 PATIO BONITO, SECTOR:PALMITAS</v>
          </cell>
          <cell r="J704">
            <v>3201695</v>
          </cell>
          <cell r="K704">
            <v>0</v>
          </cell>
          <cell r="L704">
            <v>3201695</v>
          </cell>
          <cell r="M704">
            <v>1829540</v>
          </cell>
          <cell r="N704">
            <v>1372155</v>
          </cell>
        </row>
        <row r="705">
          <cell r="A705">
            <v>395</v>
          </cell>
          <cell r="B705">
            <v>1068</v>
          </cell>
          <cell r="C705">
            <v>43143</v>
          </cell>
          <cell r="D705" t="str">
            <v>SANDRA CEILIA ZAMUDIO VARGAS</v>
          </cell>
          <cell r="E705">
            <v>31</v>
          </cell>
          <cell r="F705" t="str">
            <v>RESOLUCION</v>
          </cell>
          <cell r="G705">
            <v>630</v>
          </cell>
          <cell r="H705">
            <v>43143</v>
          </cell>
          <cell r="I705" t="str">
            <v>AYUDA TEMPORAL A LAS FAMILIAS DE VARIAS LOCALIDADES, PARA RELOCALIZACIÓN DE HOGARES LOCALIZADOS EN ZONAS DE ALTO RIESGO NO MITIGABLE ID:2015-Q03-01306, LOCALIDAD:19 CIUDAD BOLÍVAR, UPZ:67 LUCERO, SECTOR:LIMAS</v>
          </cell>
          <cell r="J705">
            <v>6041906</v>
          </cell>
          <cell r="K705">
            <v>0</v>
          </cell>
          <cell r="L705">
            <v>6041906</v>
          </cell>
          <cell r="M705">
            <v>1859048</v>
          </cell>
          <cell r="N705">
            <v>4182858</v>
          </cell>
        </row>
        <row r="706">
          <cell r="A706">
            <v>395</v>
          </cell>
          <cell r="B706">
            <v>1069</v>
          </cell>
          <cell r="C706">
            <v>43143</v>
          </cell>
          <cell r="D706" t="str">
            <v>MARIA ISABEL CUELLAR GOMEZ</v>
          </cell>
          <cell r="E706">
            <v>31</v>
          </cell>
          <cell r="F706" t="str">
            <v>RESOLUCION</v>
          </cell>
          <cell r="G706">
            <v>660</v>
          </cell>
          <cell r="H706">
            <v>43143</v>
          </cell>
          <cell r="I706" t="str">
            <v>AYUDA TEMPORAL A LAS FAMILIAS DE VARIAS LOCALIDADES, PARA RELOCALIZACIÓN DE HOGARES LOCALIZADOS EN ZONAS DE ALTO RIESGO NO MITIGABLE ID:2013-Q09-00152, LOCALIDAD:19 CIUDAD BOLÍVAR, UPZ:67 LUCERO, SECTOR:QUEBRADA TROMPETA</v>
          </cell>
          <cell r="J706">
            <v>2685291</v>
          </cell>
          <cell r="K706">
            <v>0</v>
          </cell>
          <cell r="L706">
            <v>2685291</v>
          </cell>
          <cell r="M706">
            <v>1150839</v>
          </cell>
          <cell r="N706">
            <v>1534452</v>
          </cell>
        </row>
        <row r="707">
          <cell r="A707">
            <v>395</v>
          </cell>
          <cell r="B707">
            <v>1070</v>
          </cell>
          <cell r="C707">
            <v>43143</v>
          </cell>
          <cell r="D707" t="str">
            <v>GLORIA INES SANCHEZ RODRIGUEZ</v>
          </cell>
          <cell r="E707">
            <v>31</v>
          </cell>
          <cell r="F707" t="str">
            <v>RESOLUCION</v>
          </cell>
          <cell r="G707">
            <v>631</v>
          </cell>
          <cell r="H707">
            <v>43143</v>
          </cell>
          <cell r="I707" t="str">
            <v>AYUDA TEMPORAL A LAS FAMILIAS DE VARIAS LOCALIDADES, PARA RELOCALIZACIÓN DE HOGARES LOCALIZADOS EN ZONAS DE ALTO RIESGO NO MITIGABLE ID:2010-5-11596, LOCALIDAD:05 USME, UPZ:57 GRAN YOMASA, SECTOR:OLA INVERNAL 2010 FOPAE</v>
          </cell>
          <cell r="J707">
            <v>3374280</v>
          </cell>
          <cell r="K707">
            <v>0</v>
          </cell>
          <cell r="L707">
            <v>3374280</v>
          </cell>
          <cell r="M707">
            <v>1928160</v>
          </cell>
          <cell r="N707">
            <v>1446120</v>
          </cell>
        </row>
        <row r="708">
          <cell r="A708">
            <v>395</v>
          </cell>
          <cell r="B708">
            <v>1071</v>
          </cell>
          <cell r="C708">
            <v>43143</v>
          </cell>
          <cell r="D708" t="str">
            <v>YOLANDA  VELASQUEZ SIERRA</v>
          </cell>
          <cell r="E708">
            <v>31</v>
          </cell>
          <cell r="F708" t="str">
            <v>RESOLUCION</v>
          </cell>
          <cell r="G708">
            <v>661</v>
          </cell>
          <cell r="H708">
            <v>43143</v>
          </cell>
          <cell r="I708" t="str">
            <v>AYUDA TEMPORAL A LAS FAMILIAS DE VARIAS LOCALIDADES, PARA RELOCALIZACIÓN DE HOGARES LOCALIZADOS EN ZONAS DE ALTO RIESGO NO MITIGABLE ID:2013-Q21-00478, LOCALIDAD:19 CIUDAD BOLÍVAR, UPZ:67 LUCERO, SECTOR:BRAZO DERECHO DE LIMAS</v>
          </cell>
          <cell r="J708">
            <v>2582006</v>
          </cell>
          <cell r="K708">
            <v>0</v>
          </cell>
          <cell r="L708">
            <v>2582006</v>
          </cell>
          <cell r="M708">
            <v>1106574</v>
          </cell>
          <cell r="N708">
            <v>1475432</v>
          </cell>
        </row>
        <row r="709">
          <cell r="A709">
            <v>395</v>
          </cell>
          <cell r="B709">
            <v>1072</v>
          </cell>
          <cell r="C709">
            <v>43143</v>
          </cell>
          <cell r="D709" t="str">
            <v>JAIME ALBERTO MOLINA</v>
          </cell>
          <cell r="E709">
            <v>31</v>
          </cell>
          <cell r="F709" t="str">
            <v>RESOLUCION</v>
          </cell>
          <cell r="G709">
            <v>696</v>
          </cell>
          <cell r="H709">
            <v>43143</v>
          </cell>
          <cell r="I709" t="str">
            <v>AYUDA TEMPORAL A LAS FAMILIAS DE VARIAS LOCALIDADES, PARA RELOCALIZACIÓN DE HOGARES LOCALIZADOS EN ZONAS DE ALTO RIESGO NO MITIGABLE ID:2002-4-2657, LOCALIDAD:04 SAN CRISTÓBAL, UPZ:32 SAN BLAS,</v>
          </cell>
          <cell r="J709">
            <v>5430984</v>
          </cell>
          <cell r="K709">
            <v>0</v>
          </cell>
          <cell r="L709">
            <v>5430984</v>
          </cell>
          <cell r="M709">
            <v>1671072</v>
          </cell>
          <cell r="N709">
            <v>3759912</v>
          </cell>
        </row>
        <row r="710">
          <cell r="A710">
            <v>395</v>
          </cell>
          <cell r="B710">
            <v>1073</v>
          </cell>
          <cell r="C710">
            <v>43143</v>
          </cell>
          <cell r="D710" t="str">
            <v>JOSE MIGUEL VILLALOBOS HIGUERA</v>
          </cell>
          <cell r="E710">
            <v>31</v>
          </cell>
          <cell r="F710" t="str">
            <v>RESOLUCION</v>
          </cell>
          <cell r="G710">
            <v>632</v>
          </cell>
          <cell r="H710">
            <v>43143</v>
          </cell>
          <cell r="I710" t="str">
            <v>AYUDA TEMPORAL A LAS FAMILIAS DE VARIAS LOCALIDADES, PARA RELOCALIZACIÓN DE HOGARES LOCALIZADOS EN ZONAS DE ALTO RIESGO NO MITIGABLE ID:2016-08-14794, LOCALIDAD:08 KENNEDY, UPZ:82 PATIO BONITO, SECTOR:PALMITAS</v>
          </cell>
          <cell r="J710">
            <v>6901440</v>
          </cell>
          <cell r="K710">
            <v>0</v>
          </cell>
          <cell r="L710">
            <v>6901440</v>
          </cell>
          <cell r="M710">
            <v>2123520</v>
          </cell>
          <cell r="N710">
            <v>4777920</v>
          </cell>
        </row>
        <row r="711">
          <cell r="A711">
            <v>395</v>
          </cell>
          <cell r="B711">
            <v>1074</v>
          </cell>
          <cell r="C711">
            <v>43143</v>
          </cell>
          <cell r="D711" t="str">
            <v>LUIS AUDICEL MELO MARTIN</v>
          </cell>
          <cell r="E711">
            <v>31</v>
          </cell>
          <cell r="F711" t="str">
            <v>RESOLUCION</v>
          </cell>
          <cell r="G711">
            <v>662</v>
          </cell>
          <cell r="H711">
            <v>43143</v>
          </cell>
          <cell r="I711" t="str">
            <v>AYUDA TEMPORAL A LAS FAMILIAS DE VARIAS LOCALIDADES, PARA RELOCALIZACIÓN DE HOGARES LOCALIZADOS EN ZONAS DE ALTO RIESGO NO MITIGABLE ID:2017-19-14969, LOCALIDAD:19 CIUDAD BOLÍVAR, UPZ:67 LUCERO, SECTOR:LAS MANITAS II</v>
          </cell>
          <cell r="J711">
            <v>4131218</v>
          </cell>
          <cell r="K711">
            <v>0</v>
          </cell>
          <cell r="L711">
            <v>4131218</v>
          </cell>
          <cell r="M711">
            <v>2360696</v>
          </cell>
          <cell r="N711">
            <v>1770522</v>
          </cell>
        </row>
        <row r="712">
          <cell r="A712">
            <v>395</v>
          </cell>
          <cell r="B712">
            <v>1075</v>
          </cell>
          <cell r="C712">
            <v>43143</v>
          </cell>
          <cell r="D712" t="str">
            <v>CARLOS ALBERTO MARTINEZ MORENO</v>
          </cell>
          <cell r="E712">
            <v>31</v>
          </cell>
          <cell r="F712" t="str">
            <v>RESOLUCION</v>
          </cell>
          <cell r="G712">
            <v>697</v>
          </cell>
          <cell r="H712">
            <v>43143</v>
          </cell>
          <cell r="I712" t="str">
            <v>AYUDA TEMPORAL A LAS FAMILIAS DE VARIAS LOCALIDADES, PARA RELOCALIZACIÓN DE HOGARES LOCALIZADOS EN ZONAS DE ALTO RIESGO NO MITIGABLE ID:2014-Q06-01006, LOCALIDAD:19 CIUDAD BOLÍVAR, UPZ:67 LUCERO, SECTOR:QUEBRADA EL INFIERNO</v>
          </cell>
          <cell r="J712">
            <v>5612893</v>
          </cell>
          <cell r="K712">
            <v>0</v>
          </cell>
          <cell r="L712">
            <v>5612893</v>
          </cell>
          <cell r="M712">
            <v>1727044</v>
          </cell>
          <cell r="N712">
            <v>3885849</v>
          </cell>
        </row>
        <row r="713">
          <cell r="A713">
            <v>395</v>
          </cell>
          <cell r="B713">
            <v>1076</v>
          </cell>
          <cell r="C713">
            <v>43143</v>
          </cell>
          <cell r="D713" t="str">
            <v>EDITH  MALAGON RINCON</v>
          </cell>
          <cell r="E713">
            <v>31</v>
          </cell>
          <cell r="F713" t="str">
            <v>RESOLUCION</v>
          </cell>
          <cell r="G713">
            <v>663</v>
          </cell>
          <cell r="H713">
            <v>43143</v>
          </cell>
          <cell r="I713" t="str">
            <v>AYUDA TEMPORAL A LAS FAMILIAS DE VARIAS LOCALIDADES, PARA RELOCALIZACIÓN DE HOGARES LOCALIZADOS EN ZONAS DE ALTO RIESGO NO MITIGABLE ID:2016-08-14829, LOCALIDAD:08 KENNEDY, UPZ:82 PATIO BONITO, SECTOR:PALMITAS</v>
          </cell>
          <cell r="J713">
            <v>3098410</v>
          </cell>
          <cell r="K713">
            <v>0</v>
          </cell>
          <cell r="L713">
            <v>3098410</v>
          </cell>
          <cell r="M713">
            <v>1770520</v>
          </cell>
          <cell r="N713">
            <v>1327890</v>
          </cell>
        </row>
        <row r="714">
          <cell r="A714">
            <v>395</v>
          </cell>
          <cell r="B714">
            <v>1077</v>
          </cell>
          <cell r="C714">
            <v>43143</v>
          </cell>
          <cell r="D714" t="str">
            <v>UBERTO GABRIEL SERPA JIMENEZ</v>
          </cell>
          <cell r="E714">
            <v>31</v>
          </cell>
          <cell r="F714" t="str">
            <v>RESOLUCION</v>
          </cell>
          <cell r="G714">
            <v>633</v>
          </cell>
          <cell r="H714">
            <v>43143</v>
          </cell>
          <cell r="I714" t="str">
            <v>AYUDA TEMPORAL A LAS FAMILIAS DE VARIAS LOCALIDADES, PARA RELOCALIZACIÓN DE HOGARES LOCALIZADOS EN ZONAS DE ALTO RIESGO NO MITIGABLE ID:2016-08-14872, LOCALIDAD:08 KENNEDY, UPZ:82 PATIO BONITO, SECTOR:PALMITAS</v>
          </cell>
          <cell r="J714">
            <v>5311566</v>
          </cell>
          <cell r="K714">
            <v>0</v>
          </cell>
          <cell r="L714">
            <v>5311566</v>
          </cell>
          <cell r="M714">
            <v>2360696</v>
          </cell>
          <cell r="N714">
            <v>2950870</v>
          </cell>
        </row>
        <row r="715">
          <cell r="A715">
            <v>395</v>
          </cell>
          <cell r="B715">
            <v>1078</v>
          </cell>
          <cell r="C715">
            <v>43143</v>
          </cell>
          <cell r="D715" t="str">
            <v>ABELARDO  CHOCO CHIRIVIRO</v>
          </cell>
          <cell r="E715">
            <v>31</v>
          </cell>
          <cell r="F715" t="str">
            <v>RESOLUCION</v>
          </cell>
          <cell r="G715">
            <v>709</v>
          </cell>
          <cell r="H715">
            <v>43143</v>
          </cell>
          <cell r="I715" t="str">
            <v>AYUDA TEMPORAL A LAS FAMILIAS DE VARIAS LOCALIDADES, PARA RELOCALIZACIÓN DE HOGARES LOCALIZADOS EN ZONAS DE ALTO RIESGO NO MITIGABLE ID:2014-W166-046, LOCALIDAD:19 CIUDAD BOLÍVAR, UPZ:68 EL TESORO, SECTOR:WOUNAAN</v>
          </cell>
          <cell r="J715">
            <v>7202000</v>
          </cell>
          <cell r="K715">
            <v>0</v>
          </cell>
          <cell r="L715">
            <v>7202000</v>
          </cell>
          <cell r="M715">
            <v>2216000</v>
          </cell>
          <cell r="N715">
            <v>4986000</v>
          </cell>
        </row>
        <row r="716">
          <cell r="A716">
            <v>395</v>
          </cell>
          <cell r="B716">
            <v>1079</v>
          </cell>
          <cell r="C716">
            <v>43143</v>
          </cell>
          <cell r="D716" t="str">
            <v>ADONAY  ESCALANTE DOMINGUEZ</v>
          </cell>
          <cell r="E716">
            <v>31</v>
          </cell>
          <cell r="F716" t="str">
            <v>RESOLUCION</v>
          </cell>
          <cell r="G716">
            <v>664</v>
          </cell>
          <cell r="H716">
            <v>43143</v>
          </cell>
          <cell r="I716" t="str">
            <v>AYUDA TEMPORAL A LAS FAMILIAS DE VARIAS LOCALIDADES, PARA RELOCALIZACIÓN DE HOGARES LOCALIZADOS EN ZONAS DE ALTO RIESGO NO MITIGABLE ID:2011-19-12824, LOCALIDAD:19 CIUDAD BOLÍVAR, UPZ:68 EL TESORO, SECTOR:QUEBRADA TROMPETA</v>
          </cell>
          <cell r="J716">
            <v>5291728</v>
          </cell>
          <cell r="K716">
            <v>0</v>
          </cell>
          <cell r="L716">
            <v>5291728</v>
          </cell>
          <cell r="M716">
            <v>1628224</v>
          </cell>
          <cell r="N716">
            <v>3663504</v>
          </cell>
        </row>
        <row r="717">
          <cell r="A717">
            <v>395</v>
          </cell>
          <cell r="B717">
            <v>1080</v>
          </cell>
          <cell r="C717">
            <v>43143</v>
          </cell>
          <cell r="D717" t="str">
            <v>AMANDA  GONZALEZ</v>
          </cell>
          <cell r="E717">
            <v>31</v>
          </cell>
          <cell r="F717" t="str">
            <v>RESOLUCION</v>
          </cell>
          <cell r="G717">
            <v>710</v>
          </cell>
          <cell r="H717">
            <v>43143</v>
          </cell>
          <cell r="I717" t="str">
            <v>AYUDA TEMPORAL A LAS FAMILIAS DE VARIAS LOCALIDADES, PARA RELOCALIZACIÓN DE HOGARES LOCALIZADOS EN ZONAS DE ALTO RIESGO NO MITIGABLE ID:2014-Q09-01206, LOCALIDAD:19 CIUDAD BOLÍVAR, UPZ:67 LUCERO, SECTOR:QUEBRADA TROMPETA</v>
          </cell>
          <cell r="J717">
            <v>3157315</v>
          </cell>
          <cell r="K717">
            <v>0</v>
          </cell>
          <cell r="L717">
            <v>3157315</v>
          </cell>
          <cell r="M717">
            <v>1353135</v>
          </cell>
          <cell r="N717">
            <v>1804180</v>
          </cell>
        </row>
        <row r="718">
          <cell r="A718">
            <v>395</v>
          </cell>
          <cell r="B718">
            <v>1081</v>
          </cell>
          <cell r="C718">
            <v>43143</v>
          </cell>
          <cell r="D718" t="str">
            <v>MATILDE  HERREÑO SUAREZ</v>
          </cell>
          <cell r="E718">
            <v>31</v>
          </cell>
          <cell r="F718" t="str">
            <v>RESOLUCION</v>
          </cell>
          <cell r="G718">
            <v>634</v>
          </cell>
          <cell r="H718">
            <v>43143</v>
          </cell>
          <cell r="I718" t="str">
            <v>AYUDA TEMPORAL A LAS FAMILIAS DE VARIAS LOCALIDADES, PARA RELOCALIZACIÓN DE HOGARES LOCALIZADOS EN ZONAS DE ALTO RIESGO NO MITIGABLE ID:2010-19-12001, LOCALIDAD:19 CIUDAD BOLÍVAR, UPZ:68 EL TESORO, SECTOR:OLA INVERNAL 2010 FOPAE</v>
          </cell>
          <cell r="J718">
            <v>2582006</v>
          </cell>
          <cell r="K718">
            <v>0</v>
          </cell>
          <cell r="L718">
            <v>2582006</v>
          </cell>
          <cell r="M718">
            <v>1475432</v>
          </cell>
          <cell r="N718">
            <v>1106574</v>
          </cell>
        </row>
        <row r="719">
          <cell r="A719">
            <v>395</v>
          </cell>
          <cell r="B719">
            <v>1082</v>
          </cell>
          <cell r="C719">
            <v>43143</v>
          </cell>
          <cell r="D719" t="str">
            <v>YOLANDA  DAZA RAMIREZ</v>
          </cell>
          <cell r="E719">
            <v>31</v>
          </cell>
          <cell r="F719" t="str">
            <v>RESOLUCION</v>
          </cell>
          <cell r="G719">
            <v>698</v>
          </cell>
          <cell r="H719">
            <v>43143</v>
          </cell>
          <cell r="I719" t="str">
            <v>AYUDA TEMPORAL A LAS FAMILIAS DE VARIAS LOCALIDADES, PARA RELOCALIZACIÓN DE HOGARES LOCALIZADOS EN ZONAS DE ALTO RIESGO NO MITIGABLE ID:2016-08-14849, LOCALIDAD:08 KENNEDY, UPZ:82 PATIO BONITO, SECTOR:PALMITAS</v>
          </cell>
          <cell r="J719">
            <v>7192744</v>
          </cell>
          <cell r="K719">
            <v>0</v>
          </cell>
          <cell r="L719">
            <v>7192744</v>
          </cell>
          <cell r="M719">
            <v>2213152</v>
          </cell>
          <cell r="N719">
            <v>4979592</v>
          </cell>
        </row>
        <row r="720">
          <cell r="A720">
            <v>395</v>
          </cell>
          <cell r="B720">
            <v>1083</v>
          </cell>
          <cell r="C720">
            <v>43143</v>
          </cell>
          <cell r="D720" t="str">
            <v>PEDRO MIGUEL GONZALEZ</v>
          </cell>
          <cell r="E720">
            <v>31</v>
          </cell>
          <cell r="F720" t="str">
            <v>RESOLUCION</v>
          </cell>
          <cell r="G720">
            <v>711</v>
          </cell>
          <cell r="H720">
            <v>43143</v>
          </cell>
          <cell r="I720" t="str">
            <v>AYUDA TEMPORAL A LAS FAMILIAS DE VARIAS LOCALIDADES, PARA RELOCALIZACIÓN DE HOGARES LOCALIZADOS EN ZONAS DE ALTO RIESGO NO MITIGABLE ID:2013-Q04-00107, LOCALIDAD:04 SAN CRISTÓBAL, UPZ:51 LOS LIBERTADORES, SECTOR:QUEBRADA VEREJONES</v>
          </cell>
          <cell r="J720">
            <v>5285280</v>
          </cell>
          <cell r="K720">
            <v>0</v>
          </cell>
          <cell r="L720">
            <v>5285280</v>
          </cell>
          <cell r="M720">
            <v>1626240</v>
          </cell>
          <cell r="N720">
            <v>3659040</v>
          </cell>
        </row>
        <row r="721">
          <cell r="A721">
            <v>395</v>
          </cell>
          <cell r="B721">
            <v>1084</v>
          </cell>
          <cell r="C721">
            <v>43143</v>
          </cell>
          <cell r="D721" t="str">
            <v>LUZ GIOVANNA HERNANDEZ GUTIERREZ</v>
          </cell>
          <cell r="E721">
            <v>31</v>
          </cell>
          <cell r="F721" t="str">
            <v>RESOLUCION</v>
          </cell>
          <cell r="G721">
            <v>665</v>
          </cell>
          <cell r="H721">
            <v>43143</v>
          </cell>
          <cell r="I721" t="str">
            <v>AYUDA TEMPORAL A LAS FAMILIAS DE VARIAS LOCALIDADES, PARA RELOCALIZACIÓN DE HOGARES LOCALIZADOS EN ZONAS DE ALTO RIESGO NO MITIGABLE ID:2014-OTR-00951, LOCALIDAD:19 CIUDAD BOLÍVAR, UPZ:67 LUCERO, SECTOR:TABOR ALTALOMA</v>
          </cell>
          <cell r="J721">
            <v>3112599</v>
          </cell>
          <cell r="K721">
            <v>0</v>
          </cell>
          <cell r="L721">
            <v>3112599</v>
          </cell>
          <cell r="M721">
            <v>1333971</v>
          </cell>
          <cell r="N721">
            <v>1778628</v>
          </cell>
        </row>
        <row r="722">
          <cell r="A722">
            <v>395</v>
          </cell>
          <cell r="B722">
            <v>1085</v>
          </cell>
          <cell r="C722">
            <v>43143</v>
          </cell>
          <cell r="D722" t="str">
            <v>EDGAR GERMAN LEON HERNANDEZ</v>
          </cell>
          <cell r="E722">
            <v>31</v>
          </cell>
          <cell r="F722" t="str">
            <v>RESOLUCION</v>
          </cell>
          <cell r="G722">
            <v>635</v>
          </cell>
          <cell r="H722">
            <v>43143</v>
          </cell>
          <cell r="I722" t="str">
            <v>AYUDA TEMPORAL A LAS FAMILIAS DE VARIAS LOCALIDADES, PARA RELOCALIZACIÓN DE HOGARES LOCALIZADOS EN ZONAS DE ALTO RIESGO NO MITIGABLE ID:2011-19-13539, LOCALIDAD:19 CIUDAD BOLÍVAR, UPZ:68 EL TESORO, SECTOR:</v>
          </cell>
          <cell r="J722">
            <v>2582006</v>
          </cell>
          <cell r="K722">
            <v>0</v>
          </cell>
          <cell r="L722">
            <v>2582006</v>
          </cell>
          <cell r="M722">
            <v>1475432</v>
          </cell>
          <cell r="N722">
            <v>1106574</v>
          </cell>
        </row>
        <row r="723">
          <cell r="A723">
            <v>395</v>
          </cell>
          <cell r="B723">
            <v>1086</v>
          </cell>
          <cell r="C723">
            <v>43143</v>
          </cell>
          <cell r="D723" t="str">
            <v>JOSE HERESMILDO CRUZ AVILA</v>
          </cell>
          <cell r="E723">
            <v>31</v>
          </cell>
          <cell r="F723" t="str">
            <v>RESOLUCION</v>
          </cell>
          <cell r="G723">
            <v>712</v>
          </cell>
          <cell r="H723">
            <v>43143</v>
          </cell>
          <cell r="I723" t="str">
            <v>AYUDA TEMPORAL A LAS FAMILIAS DE VARIAS LOCALIDADES, PARA RELOCALIZACIÓN DE HOGARES LOCALIZADOS EN ZONAS DE ALTO RIESGO NO MITIGABLE ID:2013000378, LOCALIDAD:19 CIUDAD BOLÍVAR, UPZ:67 LUCERO, SECTOR:PEÑA COLORADA</v>
          </cell>
          <cell r="J723">
            <v>7170319</v>
          </cell>
          <cell r="K723">
            <v>0</v>
          </cell>
          <cell r="L723">
            <v>7170319</v>
          </cell>
          <cell r="M723">
            <v>2206252</v>
          </cell>
          <cell r="N723">
            <v>4964067</v>
          </cell>
        </row>
        <row r="724">
          <cell r="A724">
            <v>395</v>
          </cell>
          <cell r="B724">
            <v>1087</v>
          </cell>
          <cell r="C724">
            <v>43143</v>
          </cell>
          <cell r="D724" t="str">
            <v>LUZ ADRIANA LAGUNA CUELLAR</v>
          </cell>
          <cell r="E724">
            <v>31</v>
          </cell>
          <cell r="F724" t="str">
            <v>RESOLUCION</v>
          </cell>
          <cell r="G724">
            <v>666</v>
          </cell>
          <cell r="H724">
            <v>43143</v>
          </cell>
          <cell r="I724" t="str">
            <v>AYUDA TEMPORAL A LAS FAMILIAS DE VARIAS LOCALIDADES, PARA RELOCALIZACIÓN DE HOGARES LOCALIZADOS EN ZONAS DE ALTO RIESGO NO MITIGABLE ID:2016-Q09-14768, LOCALIDAD:19 CIUDAD BOLÍVAR, UPZ:67 LUCERO, SECTOR:QUEBRADA TROMPETA</v>
          </cell>
          <cell r="J724">
            <v>5754190</v>
          </cell>
          <cell r="K724">
            <v>0</v>
          </cell>
          <cell r="L724">
            <v>5754190</v>
          </cell>
          <cell r="M724">
            <v>1770520</v>
          </cell>
          <cell r="N724">
            <v>3983670</v>
          </cell>
        </row>
        <row r="725">
          <cell r="A725">
            <v>395</v>
          </cell>
          <cell r="B725">
            <v>1088</v>
          </cell>
          <cell r="C725">
            <v>43143</v>
          </cell>
          <cell r="D725" t="str">
            <v>AYDA LUZ PIAMBA MAJIN</v>
          </cell>
          <cell r="E725">
            <v>31</v>
          </cell>
          <cell r="F725" t="str">
            <v>RESOLUCION</v>
          </cell>
          <cell r="G725">
            <v>636</v>
          </cell>
          <cell r="H725">
            <v>43143</v>
          </cell>
          <cell r="I725" t="str">
            <v>AYUDA TEMPORAL A LAS FAMILIAS DE VARIAS LOCALIDADES, PARA RELOCALIZACIÓN DE HOGARES LOCALIZADOS EN ZONAS DE ALTO RIESGO NO MITIGABLE ID:2011-4-13076, LOCALIDAD:04 SAN CRISTÓBAL, UPZ:51 LOS LIBERTADORES, SECTOR:QUEBRADA VEREJONES</v>
          </cell>
          <cell r="J725">
            <v>2924376</v>
          </cell>
          <cell r="K725">
            <v>0</v>
          </cell>
          <cell r="L725">
            <v>2924376</v>
          </cell>
          <cell r="M725">
            <v>1671072</v>
          </cell>
          <cell r="N725">
            <v>1253304</v>
          </cell>
        </row>
        <row r="726">
          <cell r="A726">
            <v>395</v>
          </cell>
          <cell r="B726">
            <v>1089</v>
          </cell>
          <cell r="C726">
            <v>43143</v>
          </cell>
          <cell r="D726" t="str">
            <v>ARAMINTA  PIÑEROS MARTIN</v>
          </cell>
          <cell r="E726">
            <v>31</v>
          </cell>
          <cell r="F726" t="str">
            <v>RESOLUCION</v>
          </cell>
          <cell r="G726">
            <v>713</v>
          </cell>
          <cell r="H726">
            <v>43143</v>
          </cell>
          <cell r="I726" t="str">
            <v>AYUDA TEMPORAL A LAS FAMILIAS DE VARIAS LOCALIDADES, PARA RELOCALIZACIÓN DE HOGARES LOCALIZADOS EN ZONAS DE ALTO RIESGO NO MITIGABLE ID:2011-5-13039, LOCALIDAD:05 USME, UPZ:56 DANUBIO, SECTOR:</v>
          </cell>
          <cell r="J726">
            <v>3201695</v>
          </cell>
          <cell r="K726">
            <v>0</v>
          </cell>
          <cell r="L726">
            <v>3201695</v>
          </cell>
          <cell r="M726">
            <v>1829540</v>
          </cell>
          <cell r="N726">
            <v>1372155</v>
          </cell>
        </row>
        <row r="727">
          <cell r="A727">
            <v>395</v>
          </cell>
          <cell r="B727">
            <v>1090</v>
          </cell>
          <cell r="C727">
            <v>43143</v>
          </cell>
          <cell r="D727" t="str">
            <v>FRANCISCO ALBERTO BANDERA MARTINEZ</v>
          </cell>
          <cell r="E727">
            <v>31</v>
          </cell>
          <cell r="F727" t="str">
            <v>RESOLUCION</v>
          </cell>
          <cell r="G727">
            <v>637</v>
          </cell>
          <cell r="H727">
            <v>43143</v>
          </cell>
          <cell r="I727" t="str">
            <v>AYUDA TEMPORAL A LAS FAMILIAS DE VARIAS LOCALIDADES, PARA RELOCALIZACIÓN DE HOGARES LOCALIZADOS EN ZONAS DE ALTO RIESGO NO MITIGABLE ID:2011-4-13552, LOCALIDAD:04 SAN CRISTÓBAL, UPZ:51 LOS LIBERTADORES, SECTOR:QUEBRADA VEREJONES</v>
          </cell>
          <cell r="J727">
            <v>2582006</v>
          </cell>
          <cell r="K727">
            <v>0</v>
          </cell>
          <cell r="L727">
            <v>2582006</v>
          </cell>
          <cell r="M727">
            <v>1475432</v>
          </cell>
          <cell r="N727">
            <v>1106574</v>
          </cell>
        </row>
        <row r="728">
          <cell r="A728">
            <v>395</v>
          </cell>
          <cell r="B728">
            <v>1091</v>
          </cell>
          <cell r="C728">
            <v>43143</v>
          </cell>
          <cell r="D728" t="str">
            <v>MARLENY  GUTIERREZ SANCHEZ</v>
          </cell>
          <cell r="E728">
            <v>31</v>
          </cell>
          <cell r="F728" t="str">
            <v>RESOLUCION</v>
          </cell>
          <cell r="G728">
            <v>667</v>
          </cell>
          <cell r="H728">
            <v>43143</v>
          </cell>
          <cell r="I728" t="str">
            <v>AYUDA TEMPORAL A LAS FAMILIAS DE VARIAS LOCALIDADES, PARA RELOCALIZACIÓN DE HOGARES LOCALIZADOS EN ZONAS DE ALTO RIESGO NO MITIGABLE ID:2014-OTR-00953, LOCALIDAD:19 CIUDAD BOLÍVAR, UPZ:67 LUCERO, SECTOR:TABOR ALTALOMA</v>
          </cell>
          <cell r="J728">
            <v>6721000</v>
          </cell>
          <cell r="K728">
            <v>0</v>
          </cell>
          <cell r="L728">
            <v>6721000</v>
          </cell>
          <cell r="M728">
            <v>2068000</v>
          </cell>
          <cell r="N728">
            <v>4653000</v>
          </cell>
        </row>
        <row r="729">
          <cell r="A729">
            <v>395</v>
          </cell>
          <cell r="B729">
            <v>1093</v>
          </cell>
          <cell r="C729">
            <v>43143</v>
          </cell>
          <cell r="D729" t="str">
            <v>RUTH  PEREIRA CAMACHO</v>
          </cell>
          <cell r="E729">
            <v>31</v>
          </cell>
          <cell r="F729" t="str">
            <v>RESOLUCION</v>
          </cell>
          <cell r="G729">
            <v>638</v>
          </cell>
          <cell r="H729">
            <v>43143</v>
          </cell>
          <cell r="I729" t="str">
            <v>AYUDA TEMPORAL A LAS FAMILIAS DE VARIAS LOCALIDADES, PARA RELOCALIZACIÓN DE HOGARES LOCALIZADOS EN ZONAS DE ALTO RIESGO NO MITIGABLE ID:2015-Q10-01506, LOCALIDAD:04 SAN CRISTÓBAL, UPZ:51 LOS LIBERTADORES, SECTOR:QUEBRADA VEREJONES</v>
          </cell>
          <cell r="J729">
            <v>5361707</v>
          </cell>
          <cell r="K729">
            <v>0</v>
          </cell>
          <cell r="L729">
            <v>5361707</v>
          </cell>
          <cell r="M729">
            <v>1649756</v>
          </cell>
          <cell r="N729">
            <v>3711951</v>
          </cell>
        </row>
        <row r="730">
          <cell r="A730">
            <v>395</v>
          </cell>
          <cell r="B730">
            <v>1094</v>
          </cell>
          <cell r="C730">
            <v>43143</v>
          </cell>
          <cell r="D730" t="str">
            <v>BLANCA NUBIA RODRIGUEZ CABRERA</v>
          </cell>
          <cell r="E730">
            <v>31</v>
          </cell>
          <cell r="F730" t="str">
            <v>RESOLUCION</v>
          </cell>
          <cell r="G730">
            <v>668</v>
          </cell>
          <cell r="H730">
            <v>43143</v>
          </cell>
          <cell r="I730" t="str">
            <v>AYUDA TEMPORAL A LAS FAMILIAS DE VARIAS LOCALIDADES, PARA RELOCALIZACIÓN DE HOGARES LOCALIZADOS EN ZONAS DE ALTO RIESGO NO MITIGABLE ID:2006-4-8967, LOCALIDAD:04 SAN CRISTÓBAL, UPZ:32 SAN BLAS</v>
          </cell>
          <cell r="J730">
            <v>5612893</v>
          </cell>
          <cell r="K730">
            <v>0</v>
          </cell>
          <cell r="L730">
            <v>5612893</v>
          </cell>
          <cell r="M730">
            <v>1727044</v>
          </cell>
          <cell r="N730">
            <v>3885849</v>
          </cell>
        </row>
        <row r="731">
          <cell r="A731">
            <v>395</v>
          </cell>
          <cell r="B731">
            <v>1095</v>
          </cell>
          <cell r="C731">
            <v>43143</v>
          </cell>
          <cell r="D731" t="str">
            <v>MARIA LUCRECIA LOPEZ TORRES</v>
          </cell>
          <cell r="E731">
            <v>31</v>
          </cell>
          <cell r="F731" t="str">
            <v>RESOLUCION</v>
          </cell>
          <cell r="G731">
            <v>639</v>
          </cell>
          <cell r="H731">
            <v>43143</v>
          </cell>
          <cell r="I731" t="str">
            <v>AYUDA TEMPORAL A LAS FAMILIAS DE VARIAS LOCALIDADES, PARA RELOCALIZACIÓN DE HOGARES LOCALIZADOS EN ZONAS DE ALTO RIESGO NO MITIGABLE ID:2014-Q09-00913, LOCALIDAD:19 CIUDAD BOLÍVAR, UPZ:67 LUCERO, SECTOR:QUEBRADA TROMPETA</v>
          </cell>
          <cell r="J731">
            <v>3463222</v>
          </cell>
          <cell r="K731">
            <v>0</v>
          </cell>
          <cell r="L731">
            <v>3463222</v>
          </cell>
          <cell r="M731">
            <v>1978984</v>
          </cell>
          <cell r="N731">
            <v>1484238</v>
          </cell>
        </row>
        <row r="732">
          <cell r="A732">
            <v>395</v>
          </cell>
          <cell r="B732">
            <v>1096</v>
          </cell>
          <cell r="C732">
            <v>43143</v>
          </cell>
          <cell r="D732" t="str">
            <v>ADRIANA  ALARCON GIRON</v>
          </cell>
          <cell r="E732">
            <v>31</v>
          </cell>
          <cell r="F732" t="str">
            <v>RESOLUCION</v>
          </cell>
          <cell r="G732">
            <v>699</v>
          </cell>
          <cell r="H732">
            <v>43143</v>
          </cell>
          <cell r="I732" t="str">
            <v>AYUDA TEMPORAL A LAS FAMILIAS DE VARIAS LOCALIDADES, PARA RELOCALIZACIÓN DE HOGARES LOCALIZADOS EN ZONAS DE ALTO RIESGO NO MITIGABLE ID:2012-19-13841, LOCALIDAD:19 CIUDAD BOLÍVAR, UPZ:67 LUCERO,</v>
          </cell>
          <cell r="J732">
            <v>2887073</v>
          </cell>
          <cell r="K732">
            <v>0</v>
          </cell>
          <cell r="L732">
            <v>2887073</v>
          </cell>
          <cell r="M732">
            <v>1237317</v>
          </cell>
          <cell r="N732">
            <v>1649756</v>
          </cell>
        </row>
        <row r="733">
          <cell r="A733">
            <v>395</v>
          </cell>
          <cell r="B733">
            <v>1097</v>
          </cell>
          <cell r="C733">
            <v>43143</v>
          </cell>
          <cell r="D733" t="str">
            <v>OMAR  PRIETO DIAZ</v>
          </cell>
          <cell r="E733">
            <v>31</v>
          </cell>
          <cell r="F733" t="str">
            <v>RESOLUCION</v>
          </cell>
          <cell r="G733">
            <v>669</v>
          </cell>
          <cell r="H733">
            <v>43143</v>
          </cell>
          <cell r="I733" t="str">
            <v>AYUDA TEMPORAL A LAS FAMILIAS DE VARIAS LOCALIDADES, PARA RELOCALIZACIÓN DE HOGARES LOCALIZADOS EN ZONAS DE ALTO RIESGO NO MITIGABLE ID:2013000209, LOCALIDAD:19 CIUDAD BOLÍVAR, UPZ:67 LUCERO, SECTOR:QUEBRADA EL INFIERNO</v>
          </cell>
          <cell r="J733">
            <v>6713226</v>
          </cell>
          <cell r="K733">
            <v>0</v>
          </cell>
          <cell r="L733">
            <v>6713226</v>
          </cell>
          <cell r="M733">
            <v>2065608</v>
          </cell>
          <cell r="N733">
            <v>4647618</v>
          </cell>
        </row>
        <row r="734">
          <cell r="A734">
            <v>395</v>
          </cell>
          <cell r="B734">
            <v>1098</v>
          </cell>
          <cell r="C734">
            <v>43143</v>
          </cell>
          <cell r="D734" t="str">
            <v>MIGUEL ANGEL BELTRAN CASTRO</v>
          </cell>
          <cell r="E734">
            <v>31</v>
          </cell>
          <cell r="F734" t="str">
            <v>RESOLUCION</v>
          </cell>
          <cell r="G734">
            <v>714</v>
          </cell>
          <cell r="H734">
            <v>43143</v>
          </cell>
          <cell r="I734" t="str">
            <v>AYUDA TEMPORAL A LAS FAMILIAS DE VARIAS LOCALIDADES, PARA RELOCALIZACIÓN DE HOGARES LOCALIZADOS EN ZONAS DE ALTO RIESGO NO MITIGABLE ID:2014-OTR-01026, LOCALIDAD:19 CIUDAD BOLÍVAR, UPZ:67 LUCERO, SECTOR:TABOR ALTALOMA</v>
          </cell>
          <cell r="J734">
            <v>3157315</v>
          </cell>
          <cell r="K734">
            <v>0</v>
          </cell>
          <cell r="L734">
            <v>3157315</v>
          </cell>
          <cell r="M734">
            <v>1804180</v>
          </cell>
          <cell r="N734">
            <v>1353135</v>
          </cell>
        </row>
        <row r="735">
          <cell r="A735">
            <v>395</v>
          </cell>
          <cell r="B735">
            <v>1099</v>
          </cell>
          <cell r="C735">
            <v>43143</v>
          </cell>
          <cell r="D735" t="str">
            <v>LURENCITA  CHAMAPURO PEÑA</v>
          </cell>
          <cell r="E735">
            <v>31</v>
          </cell>
          <cell r="F735" t="str">
            <v>RESOLUCION</v>
          </cell>
          <cell r="G735">
            <v>640</v>
          </cell>
          <cell r="H735">
            <v>43143</v>
          </cell>
          <cell r="I735" t="str">
            <v>AYUDA TEMPORAL A LAS FAMILIAS DE VARIAS LOCALIDADES, PARA RELOCALIZACIÓN DE HOGARES LOCALIZADOS EN ZONAS DE ALTO RIESGO NO MITIGABLE ID:2015-W166-414, LOCALIDAD:19 CIUDAD BOLÍVAR, UPZ:67 LUCERO, SECTOR:WOUNAAN</v>
          </cell>
          <cell r="J735">
            <v>7706738</v>
          </cell>
          <cell r="K735">
            <v>0</v>
          </cell>
          <cell r="L735">
            <v>7706738</v>
          </cell>
          <cell r="M735">
            <v>2371304</v>
          </cell>
          <cell r="N735">
            <v>5335434</v>
          </cell>
        </row>
        <row r="736">
          <cell r="A736">
            <v>395</v>
          </cell>
          <cell r="B736">
            <v>1100</v>
          </cell>
          <cell r="C736">
            <v>43143</v>
          </cell>
          <cell r="D736" t="str">
            <v>MABEL  MONTOYA RAMIREZ</v>
          </cell>
          <cell r="E736">
            <v>31</v>
          </cell>
          <cell r="F736" t="str">
            <v>RESOLUCION</v>
          </cell>
          <cell r="G736">
            <v>670</v>
          </cell>
          <cell r="H736">
            <v>43143</v>
          </cell>
          <cell r="I736" t="str">
            <v>AYUDA TEMPORAL A LAS FAMILIAS DE VARIAS LOCALIDADES, PARA RELOCALIZACIÓN DE HOGARES LOCALIZADOS EN ZONAS DE ALTO RIESGO NO MITIGABLE ID:2007-4-10216, LOCALIDAD:04 SAN CRISTÓBAL, UPZ:32 SAN BLAS</v>
          </cell>
          <cell r="J736">
            <v>5430984</v>
          </cell>
          <cell r="K736">
            <v>0</v>
          </cell>
          <cell r="L736">
            <v>5430984</v>
          </cell>
          <cell r="M736">
            <v>1671072</v>
          </cell>
          <cell r="N736">
            <v>3759912</v>
          </cell>
        </row>
        <row r="737">
          <cell r="A737">
            <v>395</v>
          </cell>
          <cell r="B737">
            <v>1101</v>
          </cell>
          <cell r="C737">
            <v>43143</v>
          </cell>
          <cell r="D737" t="str">
            <v>FRANCY  QUEVEDO DAZA</v>
          </cell>
          <cell r="E737">
            <v>31</v>
          </cell>
          <cell r="F737" t="str">
            <v>RESOLUCION</v>
          </cell>
          <cell r="G737">
            <v>700</v>
          </cell>
          <cell r="H737">
            <v>43143</v>
          </cell>
          <cell r="I737" t="str">
            <v>AYUDA TEMPORAL A LAS FAMILIAS DE VARIAS LOCALIDADES, PARA RELOCALIZACIÓN DE HOGARES LOCALIZADOS EN ZONAS DE ALTO RIESGO NO MITIGABLE ID:2016-08-14852, LOCALIDAD:08 KENNEDY, UPZ:82 PATIO BONITO, SECTOR:PALMITAS</v>
          </cell>
          <cell r="J737">
            <v>5466487</v>
          </cell>
          <cell r="K737">
            <v>0</v>
          </cell>
          <cell r="L737">
            <v>5466487</v>
          </cell>
          <cell r="M737">
            <v>1681996</v>
          </cell>
          <cell r="N737">
            <v>3784491</v>
          </cell>
        </row>
        <row r="738">
          <cell r="A738">
            <v>395</v>
          </cell>
          <cell r="B738">
            <v>1102</v>
          </cell>
          <cell r="C738">
            <v>43143</v>
          </cell>
          <cell r="D738" t="str">
            <v>FLOR MARINA MARTIN PIÑEROS</v>
          </cell>
          <cell r="E738">
            <v>31</v>
          </cell>
          <cell r="F738" t="str">
            <v>RESOLUCION</v>
          </cell>
          <cell r="G738">
            <v>715</v>
          </cell>
          <cell r="H738">
            <v>43143</v>
          </cell>
          <cell r="I738" t="str">
            <v>AYUDA TEMPORAL A LAS FAMILIAS DE VARIAS LOCALIDADES, PARA RELOCALIZACIÓN DE HOGARES LOCALIZADOS EN ZONAS DE ALTO RIESGO NO MITIGABLE ID:2011-5-13083, LOCALIDAD:05 USME, UPZ:56 DANUBIO</v>
          </cell>
          <cell r="J738">
            <v>3718092</v>
          </cell>
          <cell r="K738">
            <v>0</v>
          </cell>
          <cell r="L738">
            <v>3718092</v>
          </cell>
          <cell r="M738">
            <v>1593468</v>
          </cell>
          <cell r="N738">
            <v>2124624</v>
          </cell>
        </row>
        <row r="739">
          <cell r="A739">
            <v>395</v>
          </cell>
          <cell r="B739">
            <v>1103</v>
          </cell>
          <cell r="C739">
            <v>43143</v>
          </cell>
          <cell r="D739" t="str">
            <v>YURY TATIANA VILLALOBOS HIGUERA</v>
          </cell>
          <cell r="E739">
            <v>31</v>
          </cell>
          <cell r="F739" t="str">
            <v>RESOLUCION</v>
          </cell>
          <cell r="G739">
            <v>641</v>
          </cell>
          <cell r="H739">
            <v>43143</v>
          </cell>
          <cell r="I739" t="str">
            <v>AYUDA TEMPORAL A LAS FAMILIAS DE VARIAS LOCALIDADES, PARA RELOCALIZACIÓN DE HOGARES LOCALIZADOS EN ZONAS DE ALTO RIESGO NO MITIGABLE ID:2016-08-14785, LOCALIDAD:08 KENNEDY, UPZ:82 PATIO BONITO, SECTOR:PALMITAS</v>
          </cell>
          <cell r="J739">
            <v>5946005</v>
          </cell>
          <cell r="K739">
            <v>0</v>
          </cell>
          <cell r="L739">
            <v>5946005</v>
          </cell>
          <cell r="M739">
            <v>1829540</v>
          </cell>
          <cell r="N739">
            <v>4116465</v>
          </cell>
        </row>
        <row r="740">
          <cell r="A740">
            <v>395</v>
          </cell>
          <cell r="B740">
            <v>1104</v>
          </cell>
          <cell r="C740">
            <v>43143</v>
          </cell>
          <cell r="D740" t="str">
            <v>GEORGINA  HERNANDEZ</v>
          </cell>
          <cell r="E740">
            <v>31</v>
          </cell>
          <cell r="F740" t="str">
            <v>RESOLUCION</v>
          </cell>
          <cell r="G740">
            <v>716</v>
          </cell>
          <cell r="H740">
            <v>43143</v>
          </cell>
          <cell r="I740" t="str">
            <v>AYUDA TEMPORAL A LAS FAMILIAS DE VARIAS LOCALIDADES, PARA RELOCALIZACIÓN DE HOGARES LOCALIZADOS EN ZONAS DE ALTO RIESGO NO MITIGABLE ID:2013000463, LOCALIDAD:04 SAN CRISTÓBAL, UPZ:51 LOS LIBERTADORES, SECTOR:QUEBRADA VEREJONES</v>
          </cell>
          <cell r="J740">
            <v>6030557</v>
          </cell>
          <cell r="K740">
            <v>0</v>
          </cell>
          <cell r="L740">
            <v>6030557</v>
          </cell>
          <cell r="M740">
            <v>1855556</v>
          </cell>
          <cell r="N740">
            <v>4175001</v>
          </cell>
        </row>
        <row r="741">
          <cell r="A741">
            <v>395</v>
          </cell>
          <cell r="B741">
            <v>1105</v>
          </cell>
          <cell r="C741">
            <v>43143</v>
          </cell>
          <cell r="D741" t="str">
            <v>MARIBEL  GONZALEZ CUBILLOS</v>
          </cell>
          <cell r="E741">
            <v>31</v>
          </cell>
          <cell r="F741" t="str">
            <v>RESOLUCION</v>
          </cell>
          <cell r="G741">
            <v>671</v>
          </cell>
          <cell r="H741">
            <v>43143</v>
          </cell>
          <cell r="I741" t="str">
            <v>AYUDA TEMPORAL A LAS FAMILIAS DE VARIAS LOCALIDADES, PARA RELOCALIZACIÓN DE HOGARES LOCALIZADOS EN ZONAS DE ALTO RIESGO NO MITIGABLE ID:2012-19-13820, LOCALIDAD:19 CIUDAD BOLÍVAR, UPZ:67 LUCERO.</v>
          </cell>
          <cell r="J741">
            <v>4795154</v>
          </cell>
          <cell r="K741">
            <v>0</v>
          </cell>
          <cell r="L741">
            <v>4795154</v>
          </cell>
          <cell r="M741">
            <v>1475432</v>
          </cell>
          <cell r="N741">
            <v>3319722</v>
          </cell>
        </row>
        <row r="742">
          <cell r="A742">
            <v>395</v>
          </cell>
          <cell r="B742">
            <v>1106</v>
          </cell>
          <cell r="C742">
            <v>43143</v>
          </cell>
          <cell r="D742" t="str">
            <v>DIANA DEL PILAR GALINDO GONZALEZ</v>
          </cell>
          <cell r="E742">
            <v>31</v>
          </cell>
          <cell r="F742" t="str">
            <v>RESOLUCION</v>
          </cell>
          <cell r="G742">
            <v>717</v>
          </cell>
          <cell r="H742">
            <v>43143</v>
          </cell>
          <cell r="I742" t="str">
            <v>AYUDA TEMPORAL A LAS FAMILIAS DE VARIAS LOCALIDADES, PARA RELOCALIZACIÓN DE HOGARES LOCALIZADOS EN ZONAS DE ALTO RIESGO NO MITIGABLE ID:2014-OTR-00946, LOCALIDAD:19 CIUDAD BOLÍVAR, UPZ:67 LUCERO, SECTOR:TABOR ALTALOMA</v>
          </cell>
          <cell r="J742">
            <v>3248007</v>
          </cell>
          <cell r="K742">
            <v>0</v>
          </cell>
          <cell r="L742">
            <v>3248007</v>
          </cell>
          <cell r="M742">
            <v>1856004</v>
          </cell>
          <cell r="N742">
            <v>1392003</v>
          </cell>
        </row>
        <row r="743">
          <cell r="A743">
            <v>395</v>
          </cell>
          <cell r="B743">
            <v>1107</v>
          </cell>
          <cell r="C743">
            <v>43143</v>
          </cell>
          <cell r="D743" t="str">
            <v>JOSUE  MERCAZA PIRAZA</v>
          </cell>
          <cell r="E743">
            <v>31</v>
          </cell>
          <cell r="F743" t="str">
            <v>RESOLUCION</v>
          </cell>
          <cell r="G743">
            <v>642</v>
          </cell>
          <cell r="H743">
            <v>43143</v>
          </cell>
          <cell r="I743" t="str">
            <v>AYUDA TEMPORAL A LAS FAMILIAS DE VARIAS LOCALIDADES, PARA RELOCALIZACIÓN DE HOGARES LOCALIZADOS EN ZONAS DE ALTO RIESGO NO MITIGABLE ID:2014-W166-074, LOCALIDAD:19 CIUDAD BOLÍVAR, UPZ:68 EL TESORO, SECTOR:WOUNAAN</v>
          </cell>
          <cell r="J743">
            <v>7000929</v>
          </cell>
          <cell r="K743">
            <v>0</v>
          </cell>
          <cell r="L743">
            <v>7000929</v>
          </cell>
          <cell r="M743">
            <v>2154132</v>
          </cell>
          <cell r="N743">
            <v>4846797</v>
          </cell>
        </row>
        <row r="744">
          <cell r="A744">
            <v>395</v>
          </cell>
          <cell r="B744">
            <v>1108</v>
          </cell>
          <cell r="C744">
            <v>43143</v>
          </cell>
          <cell r="D744" t="str">
            <v>ANA LIBIA GORDILLO LEON</v>
          </cell>
          <cell r="E744">
            <v>31</v>
          </cell>
          <cell r="F744" t="str">
            <v>RESOLUCION</v>
          </cell>
          <cell r="G744">
            <v>701</v>
          </cell>
          <cell r="H744">
            <v>43143</v>
          </cell>
          <cell r="I744" t="str">
            <v>AYUDA TEMPORAL A LAS FAMILIAS DE VARIAS LOCALIDADES, PARA RELOCALIZACIÓN DE HOGARES LOCALIZADOS EN ZONAS DE ALTO RIESGO NO MITIGABLE ID:2011-4-12719, LOCALIDAD:04 SAN CRISTÓBAL, UPZ:32 SAN BLAS, SECTOR:</v>
          </cell>
          <cell r="J744">
            <v>3022327</v>
          </cell>
          <cell r="K744">
            <v>0</v>
          </cell>
          <cell r="L744">
            <v>3022327</v>
          </cell>
          <cell r="M744">
            <v>1727044</v>
          </cell>
          <cell r="N744">
            <v>1295283</v>
          </cell>
        </row>
        <row r="745">
          <cell r="A745">
            <v>395</v>
          </cell>
          <cell r="B745">
            <v>1109</v>
          </cell>
          <cell r="C745">
            <v>43143</v>
          </cell>
          <cell r="D745" t="str">
            <v>LUZ MARINA GONZALEZ JUZGA</v>
          </cell>
          <cell r="E745">
            <v>31</v>
          </cell>
          <cell r="F745" t="str">
            <v>RESOLUCION</v>
          </cell>
          <cell r="G745">
            <v>672</v>
          </cell>
          <cell r="H745">
            <v>43143</v>
          </cell>
          <cell r="I745" t="str">
            <v>AYUDA TEMPORAL A LAS FAMILIAS DE VARIAS LOCALIDADES, PARA RELOCALIZACIÓN DE HOGARES LOCALIZADOS EN ZONAS DE ALTO RIESGO NO MITIGABLE ID:2014-Q05-01096, LOCALIDAD:19 CIUDAD BOLÍVAR, UPZ:67 LUCERO, SECTOR:QUEBRADA CAÑO BAÚL</v>
          </cell>
          <cell r="J745">
            <v>5946005</v>
          </cell>
          <cell r="K745">
            <v>0</v>
          </cell>
          <cell r="L745">
            <v>5946005</v>
          </cell>
          <cell r="M745">
            <v>1829540</v>
          </cell>
          <cell r="N745">
            <v>4116465</v>
          </cell>
        </row>
        <row r="746">
          <cell r="A746">
            <v>395</v>
          </cell>
          <cell r="B746">
            <v>1110</v>
          </cell>
          <cell r="C746">
            <v>43143</v>
          </cell>
          <cell r="D746" t="str">
            <v>JULIO CESAR MORENO VARGAS</v>
          </cell>
          <cell r="E746">
            <v>31</v>
          </cell>
          <cell r="F746" t="str">
            <v>RESOLUCION</v>
          </cell>
          <cell r="G746">
            <v>718</v>
          </cell>
          <cell r="H746">
            <v>43143</v>
          </cell>
          <cell r="I746" t="str">
            <v>AYUDA TEMPORAL A LAS FAMILIAS DE VARIAS LOCALIDADES, PARA RELOCALIZACIÓN DE HOGARES LOCALIZADOS EN ZONAS DE ALTO RIESGO NO MITIGABLE ID:2011-4-12664, LOCALIDAD:04 SAN CRISTÓBAL, UPZ:32 SAN BLAS</v>
          </cell>
          <cell r="J746">
            <v>4795154</v>
          </cell>
          <cell r="K746">
            <v>0</v>
          </cell>
          <cell r="L746">
            <v>4795154</v>
          </cell>
          <cell r="M746">
            <v>1475432</v>
          </cell>
          <cell r="N746">
            <v>3319722</v>
          </cell>
        </row>
        <row r="747">
          <cell r="A747">
            <v>395</v>
          </cell>
          <cell r="B747">
            <v>1111</v>
          </cell>
          <cell r="C747">
            <v>43143</v>
          </cell>
          <cell r="D747" t="str">
            <v>LUIS ALEJANDRO ARIAS VANEGAS</v>
          </cell>
          <cell r="E747">
            <v>31</v>
          </cell>
          <cell r="F747" t="str">
            <v>RESOLUCION</v>
          </cell>
          <cell r="G747">
            <v>643</v>
          </cell>
          <cell r="H747">
            <v>43143</v>
          </cell>
          <cell r="I747" t="str">
            <v>AYUDA TEMPORAL A LAS FAMILIAS DE VARIAS LOCALIDADES, PARA RELOCALIZACIÓN DE HOGARES LOCALIZADOS EN ZONAS DE ALTO RIESGO NO MITIGABLE ID:2013-Q10-00668, LOCALIDAD:04 SAN CRISTÓBAL, UPZ:51 LOS LIBERTADORES, SECTOR:QUEBRADA VEREJONES</v>
          </cell>
          <cell r="J747">
            <v>6530693</v>
          </cell>
          <cell r="K747">
            <v>0</v>
          </cell>
          <cell r="L747">
            <v>6530693</v>
          </cell>
          <cell r="M747">
            <v>2009444</v>
          </cell>
          <cell r="N747">
            <v>4521249</v>
          </cell>
        </row>
        <row r="748">
          <cell r="A748">
            <v>395</v>
          </cell>
          <cell r="B748">
            <v>1112</v>
          </cell>
          <cell r="C748">
            <v>43143</v>
          </cell>
          <cell r="D748" t="str">
            <v>GLORIA PATRICIA TANGARIFE GOMEZ</v>
          </cell>
          <cell r="E748">
            <v>31</v>
          </cell>
          <cell r="F748" t="str">
            <v>RESOLUCION</v>
          </cell>
          <cell r="G748">
            <v>673</v>
          </cell>
          <cell r="H748">
            <v>43143</v>
          </cell>
          <cell r="I748" t="str">
            <v>AYUDA TEMPORAL A LAS FAMILIAS DE VARIAS LOCALIDADES, PARA RELOCALIZACIÓN DE HOGARES LOCALIZADOS EN ZONAS DE ALTO RIESGO NO MITIGABLE ID:2015-D227-00027, LOCALIDAD:04 SAN CRISTÓBAL, UPZ:51 LOS LIBERTADORES, SECTOR:SANTA TERESITA</v>
          </cell>
          <cell r="J748">
            <v>5529355</v>
          </cell>
          <cell r="K748">
            <v>0</v>
          </cell>
          <cell r="L748">
            <v>5529355</v>
          </cell>
          <cell r="M748">
            <v>1701340</v>
          </cell>
          <cell r="N748">
            <v>3828015</v>
          </cell>
        </row>
        <row r="749">
          <cell r="A749">
            <v>395</v>
          </cell>
          <cell r="B749">
            <v>1113</v>
          </cell>
          <cell r="C749">
            <v>43143</v>
          </cell>
          <cell r="D749" t="str">
            <v>GLADYS  TRIANA BASTO</v>
          </cell>
          <cell r="E749">
            <v>31</v>
          </cell>
          <cell r="F749" t="str">
            <v>RESOLUCION</v>
          </cell>
          <cell r="G749">
            <v>719</v>
          </cell>
          <cell r="H749">
            <v>43143</v>
          </cell>
          <cell r="I749" t="str">
            <v>AYUDA TEMPORAL A LAS FAMILIAS DE VARIAS LOCALIDADES, PARA RELOCALIZACIÓN DE HOGARES LOCALIZADOS EN ZONAS DE ALTO RIESGO NO MITIGABLE ID:2010-19-12064, LOCALIDAD:19 CIUDAD BOLÍVAR, UPZ:69 ISMAEL PERDOMO, SECTOR:ALTOS DE LA ESTANCIA - OLA INVERNAL 2010 FOPAE</v>
          </cell>
          <cell r="J749">
            <v>6991062</v>
          </cell>
          <cell r="K749">
            <v>0</v>
          </cell>
          <cell r="L749">
            <v>6991062</v>
          </cell>
          <cell r="M749">
            <v>2151096</v>
          </cell>
          <cell r="N749">
            <v>4839966</v>
          </cell>
        </row>
        <row r="750">
          <cell r="A750">
            <v>395</v>
          </cell>
          <cell r="B750">
            <v>1114</v>
          </cell>
          <cell r="C750">
            <v>43143</v>
          </cell>
          <cell r="D750" t="str">
            <v>MARIA CIELITO RINCON GONZALEZ</v>
          </cell>
          <cell r="E750">
            <v>31</v>
          </cell>
          <cell r="F750" t="str">
            <v>RESOLUCION</v>
          </cell>
          <cell r="G750">
            <v>702</v>
          </cell>
          <cell r="H750">
            <v>43143</v>
          </cell>
          <cell r="I750" t="str">
            <v>AYUDA TEMPORAL A LAS FAMILIAS DE VARIAS LOCALIDADES, PARA RELOCALIZACIÓN DE HOGARES LOCALIZADOS EN ZONAS DE ALTO RIESGO NO MITIGABLE ID:2011-4-12663, LOCALIDAD:04 SAN CRISTÓBAL, UPZ:32 SAN BLAS, SECTOR:</v>
          </cell>
          <cell r="J750">
            <v>5612893</v>
          </cell>
          <cell r="K750">
            <v>0</v>
          </cell>
          <cell r="L750">
            <v>5612893</v>
          </cell>
          <cell r="M750">
            <v>1727044</v>
          </cell>
          <cell r="N750">
            <v>3885849</v>
          </cell>
        </row>
        <row r="751">
          <cell r="A751">
            <v>395</v>
          </cell>
          <cell r="B751">
            <v>1115</v>
          </cell>
          <cell r="C751">
            <v>43143</v>
          </cell>
          <cell r="D751" t="str">
            <v>CLAUDIA YANETH GONZALEZ MOYA</v>
          </cell>
          <cell r="E751">
            <v>31</v>
          </cell>
          <cell r="F751" t="str">
            <v>RESOLUCION</v>
          </cell>
          <cell r="G751">
            <v>644</v>
          </cell>
          <cell r="H751">
            <v>43143</v>
          </cell>
          <cell r="I751" t="str">
            <v>AYUDA TEMPORAL A LAS FAMILIAS DE VARIAS LOCALIDADES, PARA RELOCALIZACIÓN DE HOGARES LOCALIZADOS EN ZONAS DE ALTO RIESGO NO MITIGABLE ID:2013-Q10-00574, LOCALIDAD:04 SAN CRISTÓBAL, UPZ:51 LOS LIBERTADORES, SECTOR:QUEBRADA VEREJONES</v>
          </cell>
          <cell r="J751">
            <v>5285280</v>
          </cell>
          <cell r="K751">
            <v>0</v>
          </cell>
          <cell r="L751">
            <v>5285280</v>
          </cell>
          <cell r="M751">
            <v>1626240</v>
          </cell>
          <cell r="N751">
            <v>3659040</v>
          </cell>
        </row>
        <row r="752">
          <cell r="A752">
            <v>395</v>
          </cell>
          <cell r="B752">
            <v>1116</v>
          </cell>
          <cell r="C752">
            <v>43143</v>
          </cell>
          <cell r="D752" t="str">
            <v>ELOINA  NIÑO CARREÑO</v>
          </cell>
          <cell r="E752">
            <v>31</v>
          </cell>
          <cell r="F752" t="str">
            <v>RESOLUCION</v>
          </cell>
          <cell r="G752">
            <v>720</v>
          </cell>
          <cell r="H752">
            <v>43143</v>
          </cell>
          <cell r="I752" t="str">
            <v>AYUDA TEMPORAL A LAS FAMILIAS DE VARIAS LOCALIDADES, PARA RELOCALIZACIÓN DE HOGARES LOCALIZADOS EN ZONAS DE ALTO RIESGO NO MITIGABLE ID:2011-19-12876, LOCALIDAD:19 CIUDAD BOLÍVAR, UPZ:67 LUCERO</v>
          </cell>
          <cell r="J752">
            <v>6127264</v>
          </cell>
          <cell r="K752">
            <v>0</v>
          </cell>
          <cell r="L752">
            <v>6127264</v>
          </cell>
          <cell r="M752">
            <v>1885312</v>
          </cell>
          <cell r="N752">
            <v>4241952</v>
          </cell>
        </row>
        <row r="753">
          <cell r="A753">
            <v>395</v>
          </cell>
          <cell r="B753">
            <v>1117</v>
          </cell>
          <cell r="C753">
            <v>43143</v>
          </cell>
          <cell r="D753" t="str">
            <v>GLORIA EMILDA SANCHEZ SUAREZ</v>
          </cell>
          <cell r="E753">
            <v>31</v>
          </cell>
          <cell r="F753" t="str">
            <v>RESOLUCION</v>
          </cell>
          <cell r="G753">
            <v>674</v>
          </cell>
          <cell r="H753">
            <v>43143</v>
          </cell>
          <cell r="I753" t="str">
            <v>AYUDA TEMPORAL A LAS FAMILIAS DE VARIAS LOCALIDADES, PARA RELOCALIZACIÓN DE HOGARES LOCALIZADOS EN ZONAS DE ALTO RIESGO NO MITIGABLE ID:2016-08-14843, LOCALIDAD:08 KENNEDY, UPZ:82 PATIO BONITO, SECTOR:PALMITAS</v>
          </cell>
          <cell r="J753">
            <v>7000929</v>
          </cell>
          <cell r="K753">
            <v>0</v>
          </cell>
          <cell r="L753">
            <v>7000929</v>
          </cell>
          <cell r="M753">
            <v>2154132</v>
          </cell>
          <cell r="N753">
            <v>4846797</v>
          </cell>
        </row>
        <row r="754">
          <cell r="A754">
            <v>395</v>
          </cell>
          <cell r="B754">
            <v>1118</v>
          </cell>
          <cell r="C754">
            <v>43143</v>
          </cell>
          <cell r="D754" t="str">
            <v>ALEXANDER  ROJAS MOSQUERA</v>
          </cell>
          <cell r="E754">
            <v>31</v>
          </cell>
          <cell r="F754" t="str">
            <v>RESOLUCION</v>
          </cell>
          <cell r="G754">
            <v>721</v>
          </cell>
          <cell r="H754">
            <v>43143</v>
          </cell>
          <cell r="I754" t="str">
            <v>AYUDA TEMPORAL A LAS FAMILIAS DE VARIAS LOCALIDADES, PARA RELOCALIZACIÓN DE HOGARES LOCALIZADOS EN ZONAS DE ALTO RIESGO NO MITIGABLE ID:2012-ALES-18, LOCALIDAD:19 CIUDAD BOLÍVAR, UPZ:69 ISMAEL PERDOMO</v>
          </cell>
          <cell r="J754">
            <v>6431698</v>
          </cell>
          <cell r="K754">
            <v>0</v>
          </cell>
          <cell r="L754">
            <v>6431698</v>
          </cell>
          <cell r="M754">
            <v>1978984</v>
          </cell>
          <cell r="N754">
            <v>4452714</v>
          </cell>
        </row>
        <row r="755">
          <cell r="A755">
            <v>395</v>
          </cell>
          <cell r="B755">
            <v>1119</v>
          </cell>
          <cell r="C755">
            <v>43143</v>
          </cell>
          <cell r="D755" t="str">
            <v>LIBARDO  LONDOÑO ZULUAGA</v>
          </cell>
          <cell r="E755">
            <v>31</v>
          </cell>
          <cell r="F755" t="str">
            <v>RESOLUCION</v>
          </cell>
          <cell r="G755">
            <v>645</v>
          </cell>
          <cell r="H755">
            <v>43143</v>
          </cell>
          <cell r="I755" t="str">
            <v>AYUDA TEMPORAL A LAS FAMILIAS DE VARIAS LOCALIDADES, PARA RELOCALIZACIÓN DE HOGARES LOCALIZADOS EN ZONAS DE ALTO RIESGO NO MITIGABLE ID:2013-Q04-00527, LOCALIDAD:19 CIUDAD BOLÍVAR, UPZ:67 LUCERO, SECTOR:PEÑA COLORADA</v>
          </cell>
          <cell r="J755">
            <v>3157315</v>
          </cell>
          <cell r="K755">
            <v>0</v>
          </cell>
          <cell r="L755">
            <v>3157315</v>
          </cell>
          <cell r="M755">
            <v>1353135</v>
          </cell>
          <cell r="N755">
            <v>1804180</v>
          </cell>
        </row>
        <row r="756">
          <cell r="A756">
            <v>395</v>
          </cell>
          <cell r="B756">
            <v>1120</v>
          </cell>
          <cell r="C756">
            <v>43143</v>
          </cell>
          <cell r="D756" t="str">
            <v>CENAIDA  MORALES</v>
          </cell>
          <cell r="E756">
            <v>31</v>
          </cell>
          <cell r="F756" t="str">
            <v>RESOLUCION</v>
          </cell>
          <cell r="G756">
            <v>675</v>
          </cell>
          <cell r="H756">
            <v>43143</v>
          </cell>
          <cell r="I756" t="str">
            <v>AYUDA TEMPORAL A LAS FAMILIAS DE VARIAS LOCALIDADES, PARA RELOCALIZACIÓN DE HOGARES LOCALIZADOS EN ZONAS DE ALTO RIESGO NO MITIGABLE ID:2007-18-10235, LOCALIDAD:18 RAFAEL URIBE URIBE, UPZ:55 DIANA TURBAY</v>
          </cell>
          <cell r="J756">
            <v>2677031</v>
          </cell>
          <cell r="K756">
            <v>0</v>
          </cell>
          <cell r="L756">
            <v>2677031</v>
          </cell>
          <cell r="M756">
            <v>1147299</v>
          </cell>
          <cell r="N756">
            <v>1529732</v>
          </cell>
        </row>
        <row r="757">
          <cell r="A757">
            <v>395</v>
          </cell>
          <cell r="B757">
            <v>1121</v>
          </cell>
          <cell r="C757">
            <v>43143</v>
          </cell>
          <cell r="D757" t="str">
            <v>LUZ MARINA ASTAIZA AGREDO</v>
          </cell>
          <cell r="E757">
            <v>31</v>
          </cell>
          <cell r="F757" t="str">
            <v>RESOLUCION</v>
          </cell>
          <cell r="G757">
            <v>703</v>
          </cell>
          <cell r="H757">
            <v>43143</v>
          </cell>
          <cell r="I757" t="str">
            <v>AYUDA TEMPORAL A LAS FAMILIAS DE VARIAS LOCALIDADES, PARA RELOCALIZACIÓN DE HOGARES LOCALIZADOS EN ZONAS DE ALTO RIESGO NO MITIGABLE ID:2015-Q10-01457, LOCALIDAD:04 SAN CRISTÓBAL, UPZ:51 LOS LIBERTADORES, SECTOR:QUEBRADA VEREJONES</v>
          </cell>
          <cell r="J757">
            <v>6032013</v>
          </cell>
          <cell r="K757">
            <v>0</v>
          </cell>
          <cell r="L757">
            <v>6032013</v>
          </cell>
          <cell r="M757">
            <v>1856004</v>
          </cell>
          <cell r="N757">
            <v>4176009</v>
          </cell>
        </row>
        <row r="758">
          <cell r="A758">
            <v>395</v>
          </cell>
          <cell r="B758">
            <v>1122</v>
          </cell>
          <cell r="C758">
            <v>43143</v>
          </cell>
          <cell r="D758" t="str">
            <v>ALBA CECILIA AGUIRRE LOPEZ</v>
          </cell>
          <cell r="E758">
            <v>31</v>
          </cell>
          <cell r="F758" t="str">
            <v>RESOLUCION</v>
          </cell>
          <cell r="G758">
            <v>722</v>
          </cell>
          <cell r="H758">
            <v>43143</v>
          </cell>
          <cell r="I758" t="str">
            <v>AYUDA TEMPORAL A LAS FAMILIAS DE VARIAS LOCALIDADES, PARA RELOCALIZACIÓN DE HOGARES LOCALIZADOS EN ZONAS DE ALTO RIESGO NO MITIGABLE ID:2007-19-10333, LOCALIDAD:19 CIUDAD BOLÍVAR, UPZ:67 LUCERO, SECTOR:QUEBRADA HONDA</v>
          </cell>
          <cell r="J758">
            <v>4943562</v>
          </cell>
          <cell r="K758">
            <v>0</v>
          </cell>
          <cell r="L758">
            <v>4943562</v>
          </cell>
          <cell r="M758">
            <v>1521096</v>
          </cell>
          <cell r="N758">
            <v>3422466</v>
          </cell>
        </row>
        <row r="759">
          <cell r="A759">
            <v>395</v>
          </cell>
          <cell r="B759">
            <v>1123</v>
          </cell>
          <cell r="C759">
            <v>43143</v>
          </cell>
          <cell r="D759" t="str">
            <v>YENNY PAOLA DAZA MOTTA</v>
          </cell>
          <cell r="E759">
            <v>31</v>
          </cell>
          <cell r="F759" t="str">
            <v>RESOLUCION</v>
          </cell>
          <cell r="G759">
            <v>646</v>
          </cell>
          <cell r="H759">
            <v>43143</v>
          </cell>
          <cell r="I759" t="str">
            <v>AYUDA TEMPORAL A LAS FAMILIAS DE VARIAS LOCALIDADES, PARA RELOCALIZACIÓN DE HOGARES LOCALIZADOS EN ZONAS DE ALTO RIESGO NO MITIGABLE ID:2014-4-14720, LOCALIDAD:04 SAN CRISTÓBAL, UPZ:32 SAN BLAS, SECTOR:</v>
          </cell>
          <cell r="J759">
            <v>2685291</v>
          </cell>
          <cell r="K759">
            <v>0</v>
          </cell>
          <cell r="L759">
            <v>2685291</v>
          </cell>
          <cell r="M759">
            <v>1534452</v>
          </cell>
          <cell r="N759">
            <v>1150839</v>
          </cell>
        </row>
        <row r="760">
          <cell r="A760">
            <v>395</v>
          </cell>
          <cell r="B760">
            <v>1124</v>
          </cell>
          <cell r="C760">
            <v>43143</v>
          </cell>
          <cell r="D760" t="str">
            <v>ROSA MARIA MUÑOZ QUISABONI</v>
          </cell>
          <cell r="E760">
            <v>31</v>
          </cell>
          <cell r="F760" t="str">
            <v>RESOLUCION</v>
          </cell>
          <cell r="G760">
            <v>676</v>
          </cell>
          <cell r="H760">
            <v>43143</v>
          </cell>
          <cell r="I760" t="str">
            <v>AYUDA TEMPORAL A LAS FAMILIAS DE VARIAS LOCALIDADES, PARA RELOCALIZACIÓN DE HOGARES LOCALIZADOS EN ZONAS DE ALTO RIESGO NO MITIGABLE ID:2012-18-14308, LOCALIDAD:18 RAFAEL URIBE URIBE, UPZ:55 DIANA TURBAY</v>
          </cell>
          <cell r="J760">
            <v>3094175</v>
          </cell>
          <cell r="K760">
            <v>0</v>
          </cell>
          <cell r="L760">
            <v>3094175</v>
          </cell>
          <cell r="M760">
            <v>1768100</v>
          </cell>
          <cell r="N760">
            <v>1326075</v>
          </cell>
        </row>
        <row r="761">
          <cell r="A761">
            <v>395</v>
          </cell>
          <cell r="B761">
            <v>1125</v>
          </cell>
          <cell r="C761">
            <v>43143</v>
          </cell>
          <cell r="D761" t="str">
            <v>LUZ NEIDA GARCIA MORA</v>
          </cell>
          <cell r="E761">
            <v>31</v>
          </cell>
          <cell r="F761" t="str">
            <v>RESOLUCION</v>
          </cell>
          <cell r="G761">
            <v>704</v>
          </cell>
          <cell r="H761">
            <v>43143</v>
          </cell>
          <cell r="I761" t="str">
            <v>AYUDA TEMPORAL A LAS FAMILIAS DE VARIAS LOCALIDADES, PARA RELOCALIZACIÓN DE HOGARES LOCALIZADOS EN ZONAS DE ALTO RIESGO NO MITIGABLE ID:2016-08-14795, LOCALIDAD:08 KENNEDY, UPZ:82 PATIO BONITO, SECTOR:PALMITAS</v>
          </cell>
          <cell r="J761">
            <v>7000929</v>
          </cell>
          <cell r="K761">
            <v>0</v>
          </cell>
          <cell r="L761">
            <v>7000929</v>
          </cell>
          <cell r="M761">
            <v>2154132</v>
          </cell>
          <cell r="N761">
            <v>4846797</v>
          </cell>
        </row>
        <row r="762">
          <cell r="A762">
            <v>395</v>
          </cell>
          <cell r="B762">
            <v>1126</v>
          </cell>
          <cell r="C762">
            <v>43143</v>
          </cell>
          <cell r="D762" t="str">
            <v>NELSON  DELGADO LOPEZ</v>
          </cell>
          <cell r="E762">
            <v>31</v>
          </cell>
          <cell r="F762" t="str">
            <v>RESOLUCION</v>
          </cell>
          <cell r="G762">
            <v>723</v>
          </cell>
          <cell r="H762">
            <v>43143</v>
          </cell>
          <cell r="I762" t="str">
            <v>AYUDA TEMPORAL A LAS FAMILIAS DE VARIAS LOCALIDADES, PARA RELOCALIZACIÓN DE HOGARES LOCALIZADOS EN ZONAS DE ALTO RIESGO NO MITIGABLE ID:2014-OTR-00884, LOCALIDAD:03 SANTA FE, UPZ:96 LOURDES, SECTOR:CASA 2</v>
          </cell>
          <cell r="J762">
            <v>3516527</v>
          </cell>
          <cell r="K762">
            <v>0</v>
          </cell>
          <cell r="L762">
            <v>3516527</v>
          </cell>
          <cell r="M762">
            <v>2009444</v>
          </cell>
          <cell r="N762">
            <v>1507083</v>
          </cell>
        </row>
        <row r="763">
          <cell r="A763">
            <v>395</v>
          </cell>
          <cell r="B763">
            <v>1127</v>
          </cell>
          <cell r="C763">
            <v>43143</v>
          </cell>
          <cell r="D763" t="str">
            <v>ANGELICA  PERDIZ ISMARE</v>
          </cell>
          <cell r="E763">
            <v>31</v>
          </cell>
          <cell r="F763" t="str">
            <v>RESOLUCION</v>
          </cell>
          <cell r="G763">
            <v>647</v>
          </cell>
          <cell r="H763">
            <v>43143</v>
          </cell>
          <cell r="I763" t="str">
            <v>AYUDA TEMPORAL A LAS FAMILIAS DE VARIAS LOCALIDADES, PARA RELOCALIZACIÓN DE HOGARES LOCALIZADOS EN ZONAS DE ALTO RIESGO NO MITIGABLE ID:2015-W166-511, LOCALIDAD:19 CIUDAD BOLÍVAR, UPZ:67 LUCERO, SECTOR:WOUNAAN</v>
          </cell>
          <cell r="J763">
            <v>7539090</v>
          </cell>
          <cell r="K763">
            <v>0</v>
          </cell>
          <cell r="L763">
            <v>7539090</v>
          </cell>
          <cell r="M763">
            <v>2319720</v>
          </cell>
          <cell r="N763">
            <v>5219370</v>
          </cell>
        </row>
        <row r="764">
          <cell r="A764">
            <v>395</v>
          </cell>
          <cell r="B764">
            <v>1128</v>
          </cell>
          <cell r="C764">
            <v>43143</v>
          </cell>
          <cell r="D764" t="str">
            <v>LUIS GREGORIO PEÑA MORA</v>
          </cell>
          <cell r="E764">
            <v>31</v>
          </cell>
          <cell r="F764" t="str">
            <v>RESOLUCION</v>
          </cell>
          <cell r="G764">
            <v>677</v>
          </cell>
          <cell r="H764">
            <v>43143</v>
          </cell>
          <cell r="I764" t="str">
            <v>AYUDA TEMPORAL A LAS FAMILIAS DE VARIAS LOCALIDADES, PARA RELOCALIZACIÓN DE HOGARES LOCALIZADOS EN ZONAS DE ALTO RIESGO NO MITIGABLE ID:2012-18-14365, LOCALIDAD:18 RAFAEL URIBE URIBE, UPZ:55 DIANA TURBAY</v>
          </cell>
          <cell r="J764">
            <v>5612893</v>
          </cell>
          <cell r="K764">
            <v>0</v>
          </cell>
          <cell r="L764">
            <v>5612893</v>
          </cell>
          <cell r="M764">
            <v>1727044</v>
          </cell>
          <cell r="N764">
            <v>3885849</v>
          </cell>
        </row>
        <row r="765">
          <cell r="A765">
            <v>395</v>
          </cell>
          <cell r="B765">
            <v>1129</v>
          </cell>
          <cell r="C765">
            <v>43143</v>
          </cell>
          <cell r="D765" t="str">
            <v>GLADYS  CIFUENTES CASTAÑEDA</v>
          </cell>
          <cell r="E765">
            <v>31</v>
          </cell>
          <cell r="F765" t="str">
            <v>RESOLUCION</v>
          </cell>
          <cell r="G765">
            <v>724</v>
          </cell>
          <cell r="H765">
            <v>43143</v>
          </cell>
          <cell r="I765" t="str">
            <v>AYUDA TEMPORAL A LAS FAMILIAS DE VARIAS LOCALIDADES, PARA RELOCALIZACIÓN DE HOGARES LOCALIZADOS EN ZONAS DE ALTO RIESGO NO MITIGABLE ID:2012-19-14088, LOCALIDAD:19 CIUDAD BOLÍVAR, UPZ:68 EL TESORO, SECTOR:QUEBRADA TROMPETA</v>
          </cell>
          <cell r="J765">
            <v>2788569</v>
          </cell>
          <cell r="K765">
            <v>0</v>
          </cell>
          <cell r="L765">
            <v>2788569</v>
          </cell>
          <cell r="M765">
            <v>1195101</v>
          </cell>
          <cell r="N765">
            <v>1593468</v>
          </cell>
        </row>
        <row r="766">
          <cell r="A766">
            <v>395</v>
          </cell>
          <cell r="B766">
            <v>1130</v>
          </cell>
          <cell r="C766">
            <v>43143</v>
          </cell>
          <cell r="D766" t="str">
            <v>JAIME ORLANDO CHECA MORA</v>
          </cell>
          <cell r="E766">
            <v>31</v>
          </cell>
          <cell r="F766" t="str">
            <v>RESOLUCION</v>
          </cell>
          <cell r="G766">
            <v>678</v>
          </cell>
          <cell r="H766">
            <v>43143</v>
          </cell>
          <cell r="I766" t="str">
            <v>AYUDA TEMPORAL A LAS FAMILIAS DE VARIAS LOCALIDADES, PARA RELOCALIZACIÓN DE HOGARES LOCALIZADOS EN ZONAS DE ALTO RIESGO NO MITIGABLE ID:2011-4-13653, LOCALIDAD:04 SAN CRISTÓBAL, UPZ:34 20 DE JULIO</v>
          </cell>
          <cell r="J766">
            <v>2943493</v>
          </cell>
          <cell r="K766">
            <v>0</v>
          </cell>
          <cell r="L766">
            <v>2943493</v>
          </cell>
          <cell r="M766">
            <v>1681996</v>
          </cell>
          <cell r="N766">
            <v>1261497</v>
          </cell>
        </row>
        <row r="767">
          <cell r="A767">
            <v>395</v>
          </cell>
          <cell r="B767">
            <v>1131</v>
          </cell>
          <cell r="C767">
            <v>43143</v>
          </cell>
          <cell r="D767" t="str">
            <v>OLIVERIO  VARGAS GONZALEZ</v>
          </cell>
          <cell r="E767">
            <v>31</v>
          </cell>
          <cell r="F767" t="str">
            <v>RESOLUCION</v>
          </cell>
          <cell r="G767">
            <v>725</v>
          </cell>
          <cell r="H767">
            <v>43143</v>
          </cell>
          <cell r="I767" t="str">
            <v>AYUDA TEMPORAL A LAS FAMILIAS DE VARIAS LOCALIDADES, PARA RELOCALIZACIÓN DE HOGARES LOCALIZADOS EN ZONAS DE ALTO RIESGO NO MITIGABLE ID:2014-Q04-00995, LOCALIDAD:19 CIUDAD BOLÍVAR, UPZ:67 LUCERO, SECTOR:PEÑA COLORADA</v>
          </cell>
          <cell r="J767">
            <v>3614814</v>
          </cell>
          <cell r="K767">
            <v>0</v>
          </cell>
          <cell r="L767">
            <v>3614814</v>
          </cell>
          <cell r="M767">
            <v>1032804</v>
          </cell>
          <cell r="N767">
            <v>2582010</v>
          </cell>
        </row>
        <row r="768">
          <cell r="A768">
            <v>395</v>
          </cell>
          <cell r="B768">
            <v>1132</v>
          </cell>
          <cell r="C768">
            <v>43143</v>
          </cell>
          <cell r="D768" t="str">
            <v>FLORENTINO  BARRERA SUAREZ</v>
          </cell>
          <cell r="E768">
            <v>31</v>
          </cell>
          <cell r="F768" t="str">
            <v>RESOLUCION</v>
          </cell>
          <cell r="G768">
            <v>679</v>
          </cell>
          <cell r="H768">
            <v>43143</v>
          </cell>
          <cell r="I768" t="str">
            <v>AYUDA TEMPORAL A LAS FAMILIAS DE VARIAS LOCALIDADES, PARA RELOCALIZACIÓN DE HOGARES LOCALIZADOS EN ZONAS DE ALTO RIESGO NO MITIGABLE ID:2012-3-14351, LOCALIDAD:03 SANTA FE, UPZ:96 LOURDES</v>
          </cell>
          <cell r="J768">
            <v>3201695</v>
          </cell>
          <cell r="K768">
            <v>0</v>
          </cell>
          <cell r="L768">
            <v>3201695</v>
          </cell>
          <cell r="M768">
            <v>1372155</v>
          </cell>
          <cell r="N768">
            <v>1829540</v>
          </cell>
        </row>
        <row r="769">
          <cell r="A769">
            <v>395</v>
          </cell>
          <cell r="B769">
            <v>1133</v>
          </cell>
          <cell r="C769">
            <v>43143</v>
          </cell>
          <cell r="D769" t="str">
            <v>NATALI  RIVERA PELAEZ</v>
          </cell>
          <cell r="E769">
            <v>31</v>
          </cell>
          <cell r="F769" t="str">
            <v>RESOLUCION</v>
          </cell>
          <cell r="G769">
            <v>726</v>
          </cell>
          <cell r="H769">
            <v>43143</v>
          </cell>
          <cell r="I769" t="str">
            <v>AYUDA TEMPORAL A LAS FAMILIAS DE VARIAS LOCALIDADES, PARA RELOCALIZACIÓN DE HOGARES LOCALIZADOS EN ZONAS DE ALTO RIESGO NO MITIGABLE ID:2016-08-14792, LOCALIDAD:08 KENNEDY, UPZ:82 PATIO BONITO, SECTOR:PALMITAS</v>
          </cell>
          <cell r="J769">
            <v>3718092</v>
          </cell>
          <cell r="K769">
            <v>0</v>
          </cell>
          <cell r="L769">
            <v>3718092</v>
          </cell>
          <cell r="M769">
            <v>1593468</v>
          </cell>
          <cell r="N769">
            <v>2124624</v>
          </cell>
        </row>
        <row r="770">
          <cell r="A770">
            <v>395</v>
          </cell>
          <cell r="B770">
            <v>1134</v>
          </cell>
          <cell r="C770">
            <v>43143</v>
          </cell>
          <cell r="D770" t="str">
            <v>LINA PAOLA GALINDO ARGUELLO</v>
          </cell>
          <cell r="E770">
            <v>31</v>
          </cell>
          <cell r="F770" t="str">
            <v>RESOLUCION</v>
          </cell>
          <cell r="G770">
            <v>727</v>
          </cell>
          <cell r="H770">
            <v>43143</v>
          </cell>
          <cell r="I770" t="str">
            <v>AYUDA TEMPORAL A LAS FAMILIAS DE VARIAS LOCALIDADES, PARA RELOCALIZACIÓN DE HOGARES LOCALIZADOS EN ZONAS DE ALTO RIESGO NO MITIGABLE ID:2015-4-14738, LOCALIDAD:04 SAN CRISTÓBAL, UPZ:32 SAN BLAS</v>
          </cell>
          <cell r="J770">
            <v>6533774</v>
          </cell>
          <cell r="K770">
            <v>0</v>
          </cell>
          <cell r="L770">
            <v>6533774</v>
          </cell>
          <cell r="M770">
            <v>2010392</v>
          </cell>
          <cell r="N770">
            <v>4523382</v>
          </cell>
        </row>
        <row r="771">
          <cell r="A771">
            <v>395</v>
          </cell>
          <cell r="B771">
            <v>1135</v>
          </cell>
          <cell r="C771">
            <v>43143</v>
          </cell>
          <cell r="D771" t="str">
            <v>FLORENCIO  FORERO ARTEAGA</v>
          </cell>
          <cell r="E771">
            <v>31</v>
          </cell>
          <cell r="F771" t="str">
            <v>RESOLUCION</v>
          </cell>
          <cell r="G771">
            <v>728</v>
          </cell>
          <cell r="H771">
            <v>43143</v>
          </cell>
          <cell r="I771" t="str">
            <v>AYUDA TEMPORAL A LAS FAMILIAS DE VARIAS LOCALIDADES, PARA RELOCALIZACIÓN DE HOGARES LOCALIZADOS EN ZONAS DE ALTO RIESGO NO MITIGABLE ID:2011-19-12836, LOCALIDAD:19 CIUDAD BOLÍVAR, UPZ:67 LUCERO, SECTOR:LIMAS</v>
          </cell>
          <cell r="J771">
            <v>3873016</v>
          </cell>
          <cell r="K771">
            <v>0</v>
          </cell>
          <cell r="L771">
            <v>3873016</v>
          </cell>
          <cell r="M771">
            <v>1659864</v>
          </cell>
          <cell r="N771">
            <v>2213152</v>
          </cell>
        </row>
        <row r="772">
          <cell r="A772">
            <v>395</v>
          </cell>
          <cell r="B772">
            <v>1136</v>
          </cell>
          <cell r="C772">
            <v>43143</v>
          </cell>
          <cell r="D772" t="str">
            <v>ROBERTO  DUQUE ARCIA</v>
          </cell>
          <cell r="E772">
            <v>31</v>
          </cell>
          <cell r="F772" t="str">
            <v>RESOLUCION</v>
          </cell>
          <cell r="G772">
            <v>729</v>
          </cell>
          <cell r="H772">
            <v>43143</v>
          </cell>
          <cell r="I772" t="str">
            <v>AYUDA TEMPORAL A LAS FAMILIAS DE VARIAS LOCALIDADES, PARA RELOCALIZACIÓN DE HOGARES LOCALIZADOS EN ZONAS DE ALTO RIESGO NO MITIGABLE ID:2003-19-5298, LOCALIDAD:19 CIUDAD BOLÍVAR, UPZ:69 ISMAEL PERDOMO, SECTOR:ALTOS DE LA ESTANCIA</v>
          </cell>
          <cell r="J772">
            <v>2685291</v>
          </cell>
          <cell r="K772">
            <v>0</v>
          </cell>
          <cell r="L772">
            <v>2685291</v>
          </cell>
          <cell r="M772">
            <v>1150839</v>
          </cell>
          <cell r="N772">
            <v>1534452</v>
          </cell>
        </row>
        <row r="773">
          <cell r="A773">
            <v>395</v>
          </cell>
          <cell r="B773">
            <v>1137</v>
          </cell>
          <cell r="C773">
            <v>43143</v>
          </cell>
          <cell r="D773" t="str">
            <v>CLAUDIA PATRICIA SANCHEZ ESCOBAR</v>
          </cell>
          <cell r="E773">
            <v>31</v>
          </cell>
          <cell r="F773" t="str">
            <v>RESOLUCION</v>
          </cell>
          <cell r="G773">
            <v>730</v>
          </cell>
          <cell r="H773">
            <v>43143</v>
          </cell>
          <cell r="I773" t="str">
            <v>AYUDA TEMPORAL A LAS FAMILIAS DE VARIAS LOCALIDADES, PARA RELOCALIZACIÓN DE HOGARES LOCALIZADOS EN ZONAS DE ALTO RIESGO NO MITIGABLE ID:2013-Q04-00233, LOCALIDAD:04 SAN CRISTÓBAL, UPZ:51 LOS LIBERTADORES, SECTOR:QUEBRADA VEREJONES</v>
          </cell>
          <cell r="J773">
            <v>6713226</v>
          </cell>
          <cell r="K773">
            <v>0</v>
          </cell>
          <cell r="L773">
            <v>6713226</v>
          </cell>
          <cell r="M773">
            <v>2065608</v>
          </cell>
          <cell r="N773">
            <v>4647618</v>
          </cell>
        </row>
        <row r="774">
          <cell r="A774">
            <v>395</v>
          </cell>
          <cell r="B774">
            <v>1138</v>
          </cell>
          <cell r="C774">
            <v>43143</v>
          </cell>
          <cell r="D774" t="str">
            <v>ANA JOAQUINA PARDO PARDO</v>
          </cell>
          <cell r="E774">
            <v>31</v>
          </cell>
          <cell r="F774" t="str">
            <v>RESOLUCION</v>
          </cell>
          <cell r="G774">
            <v>731</v>
          </cell>
          <cell r="H774">
            <v>43143</v>
          </cell>
          <cell r="I774" t="str">
            <v>AYUDA TEMPORAL A LAS FAMILIAS DE VARIAS LOCALIDADES, PARA RELOCALIZACIÓN DE HOGARES LOCALIZADOS EN ZONAS DE ALTO RIESGO NO MITIGABLE ID:2015-Q20-01330, LOCALIDAD:04 SAN CRISTÓBAL, UPZ:50 LA GLORIA, SECTOR:LA CHIGUAZA</v>
          </cell>
          <cell r="J774">
            <v>2788569</v>
          </cell>
          <cell r="K774">
            <v>0</v>
          </cell>
          <cell r="L774">
            <v>2788569</v>
          </cell>
          <cell r="M774">
            <v>1593468</v>
          </cell>
          <cell r="N774">
            <v>1195101</v>
          </cell>
        </row>
        <row r="775">
          <cell r="A775">
            <v>395</v>
          </cell>
          <cell r="B775">
            <v>1140</v>
          </cell>
          <cell r="C775">
            <v>43143</v>
          </cell>
          <cell r="D775" t="str">
            <v>HILDA LEONOR HIDALGO URREGO</v>
          </cell>
          <cell r="E775">
            <v>31</v>
          </cell>
          <cell r="F775" t="str">
            <v>RESOLUCION</v>
          </cell>
          <cell r="G775">
            <v>733</v>
          </cell>
          <cell r="H775">
            <v>43143</v>
          </cell>
          <cell r="I775" t="str">
            <v>AYUDA TEMPORAL A LAS FAMILIAS DE VARIAS LOCALIDADES, PARA RELOCALIZACIÓN DE HOGARES LOCALIZADOS EN ZONAS DE ALTO RIESGO NO MITIGABLE ID:2012-19-14580, LOCALIDAD:19 CIUDAD BOLÍVAR, UPZ:68 EL TESORO, SECTOR:QUEBRADA TROMPETA</v>
          </cell>
          <cell r="J775">
            <v>3570210</v>
          </cell>
          <cell r="K775">
            <v>0</v>
          </cell>
          <cell r="L775">
            <v>3570210</v>
          </cell>
          <cell r="M775">
            <v>2040120</v>
          </cell>
          <cell r="N775">
            <v>1530090</v>
          </cell>
        </row>
        <row r="776">
          <cell r="A776">
            <v>395</v>
          </cell>
          <cell r="B776">
            <v>1141</v>
          </cell>
          <cell r="C776">
            <v>43143</v>
          </cell>
          <cell r="D776" t="str">
            <v>EVARISTO  HEREDIA CAMACHO</v>
          </cell>
          <cell r="E776">
            <v>31</v>
          </cell>
          <cell r="F776" t="str">
            <v>RESOLUCION</v>
          </cell>
          <cell r="G776">
            <v>734</v>
          </cell>
          <cell r="H776">
            <v>43143</v>
          </cell>
          <cell r="I776" t="str">
            <v>AYUDA TEMPORAL A LAS FAMILIAS DE VARIAS LOCALIDADES, PARA RELOCALIZACIÓN DE HOGARES LOCALIZADOS EN ZONAS DE ALTO RIESGO NO MITIGABLE ID:2010-18-12318, LOCALIDAD:18 RAFAEL URIBE URIBE, UPZ:55 DIANA TURBAY, SECTOR:OLA INVERNAL 2010 FOPAE</v>
          </cell>
          <cell r="J776">
            <v>3263008</v>
          </cell>
          <cell r="K776">
            <v>0</v>
          </cell>
          <cell r="L776">
            <v>3263008</v>
          </cell>
          <cell r="M776">
            <v>1398432</v>
          </cell>
          <cell r="N776">
            <v>1864576</v>
          </cell>
        </row>
        <row r="777">
          <cell r="A777">
            <v>395</v>
          </cell>
          <cell r="B777">
            <v>1142</v>
          </cell>
          <cell r="C777">
            <v>43143</v>
          </cell>
          <cell r="D777" t="str">
            <v>EVANGELISTA  ARDILA QUIROGA</v>
          </cell>
          <cell r="E777">
            <v>31</v>
          </cell>
          <cell r="F777" t="str">
            <v>RESOLUCION</v>
          </cell>
          <cell r="G777">
            <v>705</v>
          </cell>
          <cell r="H777">
            <v>43143</v>
          </cell>
          <cell r="I777" t="str">
            <v>AYUDA TEMPORAL A LAS FAMILIAS DE VARIAS LOCALIDADES, PARA RELOCALIZACIÓN DE HOGARES LOCALIZADOS EN ZONAS DE ALTO RIESGO NO MITIGABLE ID:2012-19-14220, LOCALIDAD:19 CIUDAD BOLÍVAR, UPZ:68 EL TESORO, SECTOR:QUEBRADA TROMPETA</v>
          </cell>
          <cell r="J777">
            <v>2685291</v>
          </cell>
          <cell r="K777">
            <v>0</v>
          </cell>
          <cell r="L777">
            <v>2685291</v>
          </cell>
          <cell r="M777">
            <v>1534452</v>
          </cell>
          <cell r="N777">
            <v>1150839</v>
          </cell>
        </row>
        <row r="778">
          <cell r="A778">
            <v>395</v>
          </cell>
          <cell r="B778">
            <v>1143</v>
          </cell>
          <cell r="C778">
            <v>43143</v>
          </cell>
          <cell r="D778" t="str">
            <v>MARIA DEL CARMEN CEPEDA DE MORENO</v>
          </cell>
          <cell r="E778">
            <v>31</v>
          </cell>
          <cell r="F778" t="str">
            <v>RESOLUCION</v>
          </cell>
          <cell r="G778">
            <v>735</v>
          </cell>
          <cell r="H778">
            <v>43143</v>
          </cell>
          <cell r="I778" t="str">
            <v>AYUDA TEMPORAL A LAS FAMILIAS DE VARIAS LOCALIDADES, PARA RELOCALIZACIÓN DE HOGARES LOCALIZADOS EN ZONAS DE ALTO RIESGO NO MITIGABLE ID:2015-D227-00052, LOCALIDAD:04 SAN CRISTÓBAL, UPZ:51 LOS LIBERTADORES, SECTOR:SANTA TERESITA</v>
          </cell>
          <cell r="J778">
            <v>3041416</v>
          </cell>
          <cell r="K778">
            <v>0</v>
          </cell>
          <cell r="L778">
            <v>3041416</v>
          </cell>
          <cell r="M778">
            <v>1520708</v>
          </cell>
          <cell r="N778">
            <v>1520708</v>
          </cell>
        </row>
        <row r="779">
          <cell r="A779">
            <v>395</v>
          </cell>
          <cell r="B779">
            <v>1144</v>
          </cell>
          <cell r="C779">
            <v>43143</v>
          </cell>
          <cell r="D779" t="str">
            <v>LAURENCIO  REYES SANABRIA</v>
          </cell>
          <cell r="E779">
            <v>31</v>
          </cell>
          <cell r="F779" t="str">
            <v>RESOLUCION</v>
          </cell>
          <cell r="G779">
            <v>736</v>
          </cell>
          <cell r="H779">
            <v>43143</v>
          </cell>
          <cell r="I779" t="str">
            <v>AYUDA TEMPORAL A LAS FAMILIAS DE VARIAS LOCALIDADES, PARA RELOCALIZACIÓN DE HOGARES LOCALIZADOS EN ZONAS DE ALTO RIESGO NO MITIGABLE ID:2015-OTR-01477, LOCALIDAD:19 CIUDAD BOLÍVAR, UPZ:67 LUCERO, SECTOR:TABOR ALTALOMA</v>
          </cell>
          <cell r="J779">
            <v>3608360</v>
          </cell>
          <cell r="K779">
            <v>0</v>
          </cell>
          <cell r="L779">
            <v>3608360</v>
          </cell>
          <cell r="M779">
            <v>1804180</v>
          </cell>
          <cell r="N779">
            <v>1804180</v>
          </cell>
        </row>
        <row r="780">
          <cell r="A780">
            <v>395</v>
          </cell>
          <cell r="B780">
            <v>1145</v>
          </cell>
          <cell r="C780">
            <v>43143</v>
          </cell>
          <cell r="D780" t="str">
            <v>CONCEPCION  TOVAR MUÑOZ</v>
          </cell>
          <cell r="E780">
            <v>31</v>
          </cell>
          <cell r="F780" t="str">
            <v>RESOLUCION</v>
          </cell>
          <cell r="G780">
            <v>706</v>
          </cell>
          <cell r="H780">
            <v>43143</v>
          </cell>
          <cell r="I780" t="str">
            <v>AYUDA TEMPORAL A LAS FAMILIAS DE VARIAS LOCALIDADES, PARA RELOCALIZACIÓN DE HOGARES LOCALIZADOS EN ZONAS DE ALTO RIESGO NO MITIGABLE ID:2011-5-12895, LOCALIDAD:05 USME, UPZ:61 CIUDAD DE USME, SECTOR:</v>
          </cell>
          <cell r="J780">
            <v>3374280</v>
          </cell>
          <cell r="K780">
            <v>0</v>
          </cell>
          <cell r="L780">
            <v>3374280</v>
          </cell>
          <cell r="M780">
            <v>1928160</v>
          </cell>
          <cell r="N780">
            <v>1446120</v>
          </cell>
        </row>
        <row r="781">
          <cell r="A781">
            <v>395</v>
          </cell>
          <cell r="B781">
            <v>1146</v>
          </cell>
          <cell r="C781">
            <v>43143</v>
          </cell>
          <cell r="D781" t="str">
            <v>ROSA GLORIA CARDENAS MORA</v>
          </cell>
          <cell r="E781">
            <v>31</v>
          </cell>
          <cell r="F781" t="str">
            <v>RESOLUCION</v>
          </cell>
          <cell r="G781">
            <v>707</v>
          </cell>
          <cell r="H781">
            <v>43143</v>
          </cell>
          <cell r="I781" t="str">
            <v>AYUDA TEMPORAL A LAS FAMILIAS DE VARIAS LOCALIDADES, PARA RELOCALIZACIÓN DE HOGARES LOCALIZADOS EN ZONAS DE ALTO RIESGO NO MITIGABLE ID:2011-19-13484, LOCALIDAD:19 CIUDAD BOLÍVAR, UPZ:68 EL TESORO, SECTOR:</v>
          </cell>
          <cell r="J781">
            <v>6530693</v>
          </cell>
          <cell r="K781">
            <v>0</v>
          </cell>
          <cell r="L781">
            <v>6530693</v>
          </cell>
          <cell r="M781">
            <v>2009444</v>
          </cell>
          <cell r="N781">
            <v>4521249</v>
          </cell>
        </row>
        <row r="782">
          <cell r="A782">
            <v>395</v>
          </cell>
          <cell r="B782">
            <v>1147</v>
          </cell>
          <cell r="C782">
            <v>43143</v>
          </cell>
          <cell r="D782" t="str">
            <v>JONATHAN JULIAN GUZMAN RODRIGUEZ</v>
          </cell>
          <cell r="E782">
            <v>31</v>
          </cell>
          <cell r="F782" t="str">
            <v>RESOLUCION</v>
          </cell>
          <cell r="G782">
            <v>695</v>
          </cell>
          <cell r="H782">
            <v>43143</v>
          </cell>
          <cell r="I782" t="str">
            <v>AYUDA TEMPORAL A LAS FAMILIAS DE VARIAS LOCALIDADES, PARA RELOCALIZACIÓN DE HOGARES LOCALIZADOS EN ZONAS DE ALTO RIESGO NO MITIGABLE ID:2013-Q04-00277, LOCALIDAD:19 CIUDAD BOLÍVAR, UPZ:67 LUCERO, SECTOR:PEÑA COLORADA</v>
          </cell>
          <cell r="J782">
            <v>3046771</v>
          </cell>
          <cell r="K782">
            <v>0</v>
          </cell>
          <cell r="L782">
            <v>3046771</v>
          </cell>
          <cell r="M782">
            <v>1741012</v>
          </cell>
          <cell r="N782">
            <v>1305759</v>
          </cell>
        </row>
        <row r="783">
          <cell r="A783">
            <v>395</v>
          </cell>
          <cell r="B783">
            <v>1148</v>
          </cell>
          <cell r="C783">
            <v>43143</v>
          </cell>
          <cell r="D783" t="str">
            <v>ROSA ELENA ARIAS ARIAS</v>
          </cell>
          <cell r="E783">
            <v>31</v>
          </cell>
          <cell r="F783" t="str">
            <v>RESOLUCION</v>
          </cell>
          <cell r="G783">
            <v>812</v>
          </cell>
          <cell r="H783">
            <v>43143</v>
          </cell>
          <cell r="I783" t="str">
            <v>AYUDA TEMPORAL A LAS FAMILIAS DE VARIAS LOCALIDADES, PARA RELOCALIZACIÓN DE HOGARES LOCALIZADOS EN ZONAS DE ALTO RIESGO NO MITIGABLE ID:2015-OTR-01535, LOCALIDAD:05 USME, UPZ:52 LA FLORA, SECTOR:</v>
          </cell>
          <cell r="J783">
            <v>2977086</v>
          </cell>
          <cell r="K783">
            <v>0</v>
          </cell>
          <cell r="L783">
            <v>2977086</v>
          </cell>
          <cell r="M783">
            <v>1488543</v>
          </cell>
          <cell r="N783">
            <v>1488543</v>
          </cell>
        </row>
        <row r="784">
          <cell r="A784">
            <v>395</v>
          </cell>
          <cell r="B784">
            <v>1149</v>
          </cell>
          <cell r="C784">
            <v>43143</v>
          </cell>
          <cell r="D784" t="str">
            <v>JULIO WILCHEZ GUERRERO GONZALEZ</v>
          </cell>
          <cell r="E784">
            <v>31</v>
          </cell>
          <cell r="F784" t="str">
            <v>RESOLUCION</v>
          </cell>
          <cell r="G784">
            <v>813</v>
          </cell>
          <cell r="H784">
            <v>43143</v>
          </cell>
          <cell r="I784" t="str">
            <v>AYUDA TEMPORAL A LAS FAMILIAS DE VARIAS LOCALIDADES, PARA RELOCALIZACIÓN DE HOGARES LOCALIZADOS EN ZONAS DE ALTO RIESGO NO MITIGABLE ID:2011-5-13263, LOCALIDAD:05 USME, UPZ:56 DANUBIO, SECTOR:</v>
          </cell>
          <cell r="J784">
            <v>2482374</v>
          </cell>
          <cell r="K784">
            <v>0</v>
          </cell>
          <cell r="L784">
            <v>2482374</v>
          </cell>
          <cell r="M784">
            <v>827458</v>
          </cell>
          <cell r="N784">
            <v>1654916</v>
          </cell>
        </row>
        <row r="785">
          <cell r="A785">
            <v>395</v>
          </cell>
          <cell r="B785">
            <v>1150</v>
          </cell>
          <cell r="C785">
            <v>43143</v>
          </cell>
          <cell r="D785" t="str">
            <v>JOHAN STIVEN DIAZ POSADA</v>
          </cell>
          <cell r="E785">
            <v>31</v>
          </cell>
          <cell r="F785" t="str">
            <v>RESOLUCION</v>
          </cell>
          <cell r="G785">
            <v>814</v>
          </cell>
          <cell r="H785">
            <v>43143</v>
          </cell>
          <cell r="I785" t="str">
            <v>AYUDA TEMPORAL A LAS FAMILIAS DE VARIAS LOCALIDADES, PARA RELOCALIZACIÓN DE HOGARES LOCALIZADOS EN ZONAS DE ALTO RIESGO NO MITIGABLE ID:2012-18-14525, LOCALIDAD:18 RAFAEL URIBE URIBE, UPZ:55 DIANA TURBAY, SECTOR:</v>
          </cell>
          <cell r="J785">
            <v>2590566</v>
          </cell>
          <cell r="K785">
            <v>0</v>
          </cell>
          <cell r="L785">
            <v>2590566</v>
          </cell>
          <cell r="M785">
            <v>1295283</v>
          </cell>
          <cell r="N785">
            <v>1295283</v>
          </cell>
        </row>
        <row r="786">
          <cell r="A786">
            <v>395</v>
          </cell>
          <cell r="B786">
            <v>1151</v>
          </cell>
          <cell r="C786">
            <v>43143</v>
          </cell>
          <cell r="D786" t="str">
            <v>CARMEN ELISA ORTIZ REYES</v>
          </cell>
          <cell r="E786">
            <v>31</v>
          </cell>
          <cell r="F786" t="str">
            <v>RESOLUCION</v>
          </cell>
          <cell r="G786">
            <v>815</v>
          </cell>
          <cell r="H786">
            <v>43143</v>
          </cell>
          <cell r="I786" t="str">
            <v>AYUDA TEMPORAL A LAS FAMILIAS DE VARIAS LOCALIDADES, PARA RELOCALIZACIÓN DE HOGARES LOCALIZADOS EN ZONAS DE ALTO RIESGO NO MITIGABLE ID:2012-19-14579, LOCALIDAD:19 CIUDAD BOLÍVAR, UPZ:68 EL TESORO, SECTOR:QUEBRADA TROMPETA</v>
          </cell>
          <cell r="J786">
            <v>4062460</v>
          </cell>
          <cell r="K786">
            <v>0</v>
          </cell>
          <cell r="L786">
            <v>4062460</v>
          </cell>
          <cell r="M786">
            <v>1218738</v>
          </cell>
          <cell r="N786">
            <v>2843722</v>
          </cell>
        </row>
        <row r="787">
          <cell r="A787">
            <v>395</v>
          </cell>
          <cell r="B787">
            <v>1152</v>
          </cell>
          <cell r="C787">
            <v>43143</v>
          </cell>
          <cell r="D787" t="str">
            <v>LEIDY  CRUZ INFANTE</v>
          </cell>
          <cell r="E787">
            <v>31</v>
          </cell>
          <cell r="F787" t="str">
            <v>RESOLUCION</v>
          </cell>
          <cell r="G787">
            <v>816</v>
          </cell>
          <cell r="H787">
            <v>43143</v>
          </cell>
          <cell r="I787" t="str">
            <v>AYUDA TEMPORAL A LAS FAMILIAS DE VARIAS LOCALIDADES, PARA RELOCALIZACIÓN DE HOGARES LOCALIZADOS EN ZONAS DE ALTO RIESGO NO MITIGABLE ID:2015-OTR-01539, LOCALIDAD:18 RAFAEL URIBE URIBE, UPZ:55 DIANA TURBAY, SECTOR:CERROS DE ORIENTE</v>
          </cell>
          <cell r="J787">
            <v>4795160</v>
          </cell>
          <cell r="K787">
            <v>0</v>
          </cell>
          <cell r="L787">
            <v>4795160</v>
          </cell>
          <cell r="M787">
            <v>959032</v>
          </cell>
          <cell r="N787">
            <v>3836128</v>
          </cell>
        </row>
        <row r="788">
          <cell r="A788">
            <v>395</v>
          </cell>
          <cell r="B788">
            <v>1153</v>
          </cell>
          <cell r="C788">
            <v>43143</v>
          </cell>
          <cell r="D788" t="str">
            <v>YENNY MARCELA MEDINA RODRIGUEZ</v>
          </cell>
          <cell r="E788">
            <v>31</v>
          </cell>
          <cell r="F788" t="str">
            <v>RESOLUCION</v>
          </cell>
          <cell r="G788">
            <v>847</v>
          </cell>
          <cell r="H788">
            <v>43143</v>
          </cell>
          <cell r="I788" t="str">
            <v>AYUDA TEMPORAL A LAS FAMILIAS DE VARIAS LOCALIDADES, PARA RELOCALIZACIÓN DE HOGARES LOCALIZADOS EN ZONAS DE ALTO RIESGO NO MITIGABLE ID:2016-08-14903, LOCALIDAD:08 KENNEDY, UPZ:82 PATIO BONITO, SECTOR:PALMITAS</v>
          </cell>
          <cell r="J788">
            <v>7259136</v>
          </cell>
          <cell r="K788">
            <v>0</v>
          </cell>
          <cell r="L788">
            <v>7259136</v>
          </cell>
          <cell r="M788">
            <v>1814784</v>
          </cell>
          <cell r="N788">
            <v>5444352</v>
          </cell>
        </row>
        <row r="789">
          <cell r="A789">
            <v>395</v>
          </cell>
          <cell r="B789">
            <v>1154</v>
          </cell>
          <cell r="C789">
            <v>43143</v>
          </cell>
          <cell r="D789" t="str">
            <v>HORTENCIA  NUÑEZ BARRERA</v>
          </cell>
          <cell r="E789">
            <v>31</v>
          </cell>
          <cell r="F789" t="str">
            <v>RESOLUCION</v>
          </cell>
          <cell r="G789">
            <v>848</v>
          </cell>
          <cell r="H789">
            <v>43143</v>
          </cell>
          <cell r="I789" t="str">
            <v>AYUDA TEMPORAL A LAS FAMILIAS DE VARIAS LOCALIDADES, PARA RELOCALIZACIÓN DE HOGARES LOCALIZADOS EN ZONAS DE ALTO RIESGO NO MITIGABLE ID:2014-Q21-00705, LOCALIDAD:04 SAN CRISTÓBAL, UPZ:51 LOS LIBERTADORES, SECTOR:QUEBRADA VEREJONES</v>
          </cell>
          <cell r="J789">
            <v>5765760</v>
          </cell>
          <cell r="K789">
            <v>0</v>
          </cell>
          <cell r="L789">
            <v>5765760</v>
          </cell>
          <cell r="M789">
            <v>1441440</v>
          </cell>
          <cell r="N789">
            <v>4324320</v>
          </cell>
        </row>
        <row r="790">
          <cell r="A790">
            <v>395</v>
          </cell>
          <cell r="B790">
            <v>1155</v>
          </cell>
          <cell r="C790">
            <v>43143</v>
          </cell>
          <cell r="D790" t="str">
            <v>ROSA MARIA CRUZ GUERRERO</v>
          </cell>
          <cell r="E790">
            <v>31</v>
          </cell>
          <cell r="F790" t="str">
            <v>RESOLUCION</v>
          </cell>
          <cell r="G790">
            <v>849</v>
          </cell>
          <cell r="H790">
            <v>43143</v>
          </cell>
          <cell r="I790" t="str">
            <v>AYUDA TEMPORAL A LAS FAMILIAS DE VARIAS LOCALIDADES, PARA RELOCALIZACIÓN DE HOGARES LOCALIZADOS EN ZONAS DE ALTO RIESGO NO MITIGABLE ID:2012-19-13938, LOCALIDAD:19 CIUDAD BOLÍVAR, UPZ:67 LUCERO, SECTOR:</v>
          </cell>
          <cell r="J790">
            <v>5178771</v>
          </cell>
          <cell r="K790">
            <v>0</v>
          </cell>
          <cell r="L790">
            <v>5178771</v>
          </cell>
          <cell r="M790">
            <v>1195101</v>
          </cell>
          <cell r="N790">
            <v>3983670</v>
          </cell>
        </row>
        <row r="791">
          <cell r="A791">
            <v>395</v>
          </cell>
          <cell r="B791">
            <v>1156</v>
          </cell>
          <cell r="C791">
            <v>43143</v>
          </cell>
          <cell r="D791" t="str">
            <v>SANDRA YANETH PADUA PULIDO</v>
          </cell>
          <cell r="E791">
            <v>31</v>
          </cell>
          <cell r="F791" t="str">
            <v>RESOLUCION</v>
          </cell>
          <cell r="G791">
            <v>850</v>
          </cell>
          <cell r="H791">
            <v>43143</v>
          </cell>
          <cell r="I791" t="str">
            <v>AYUDA TEMPORAL A LAS FAMILIAS DE VARIAS LOCALIDADES, PARA RELOCALIZACIÓN DE HOGARES LOCALIZADOS EN ZONAS DE ALTO RIESGO NO MITIGABLE ID:2011-4-12668, LOCALIDAD:04 SAN CRISTÓBAL, UPZ:32 SAN BLAS</v>
          </cell>
          <cell r="J791">
            <v>5754190</v>
          </cell>
          <cell r="K791">
            <v>0</v>
          </cell>
          <cell r="L791">
            <v>5754190</v>
          </cell>
          <cell r="M791">
            <v>1770520</v>
          </cell>
          <cell r="N791">
            <v>3983670</v>
          </cell>
        </row>
        <row r="792">
          <cell r="A792">
            <v>395</v>
          </cell>
          <cell r="B792">
            <v>1157</v>
          </cell>
          <cell r="C792">
            <v>43143</v>
          </cell>
          <cell r="D792" t="str">
            <v>JOHAM AYMER PERDIZ GUACORIZO</v>
          </cell>
          <cell r="E792">
            <v>31</v>
          </cell>
          <cell r="F792" t="str">
            <v>RESOLUCION</v>
          </cell>
          <cell r="G792">
            <v>851</v>
          </cell>
          <cell r="H792">
            <v>43143</v>
          </cell>
          <cell r="I792" t="str">
            <v>AYUDA TEMPORAL A LAS FAMILIAS DE VARIAS LOCALIDADES, PARA RELOCALIZACIÓN DE HOGARES LOCALIZADOS EN ZONAS DE ALTO RIESGO NO MITIGABLE ID:2014-W166-070, LOCALIDAD:19 CIUDAD BOLÍVAR, UPZ:68 EL TESORO, SECTOR:WOUNAAN</v>
          </cell>
          <cell r="J792">
            <v>5285280</v>
          </cell>
          <cell r="K792">
            <v>0</v>
          </cell>
          <cell r="L792">
            <v>5285280</v>
          </cell>
          <cell r="M792">
            <v>1626240</v>
          </cell>
          <cell r="N792">
            <v>3659040</v>
          </cell>
        </row>
        <row r="793">
          <cell r="A793">
            <v>395</v>
          </cell>
          <cell r="B793">
            <v>1158</v>
          </cell>
          <cell r="C793">
            <v>43143</v>
          </cell>
          <cell r="D793" t="str">
            <v>ANGELA JACKELINE ACOSTA RAMIREZ</v>
          </cell>
          <cell r="E793">
            <v>31</v>
          </cell>
          <cell r="F793" t="str">
            <v>RESOLUCION</v>
          </cell>
          <cell r="G793">
            <v>852</v>
          </cell>
          <cell r="H793">
            <v>43143</v>
          </cell>
          <cell r="I793" t="str">
            <v>AYUDA TEMPORAL A LAS FAMILIAS DE VARIAS LOCALIDADES, PARA RELOCALIZACIÓN DE HOGARES LOCALIZADOS EN ZONAS DE ALTO RIESGO NO MITIGABLE ID:2013-Q09-00118, LOCALIDAD:04 SAN CRISTÓBAL, UPZ:51 LOS LIBERTADORES, SECTOR:QUEBRADA VEREJONES</v>
          </cell>
          <cell r="J793">
            <v>4136000</v>
          </cell>
          <cell r="K793">
            <v>0</v>
          </cell>
          <cell r="L793">
            <v>4136000</v>
          </cell>
          <cell r="M793">
            <v>2068000</v>
          </cell>
          <cell r="N793">
            <v>2068000</v>
          </cell>
        </row>
        <row r="794">
          <cell r="A794">
            <v>395</v>
          </cell>
          <cell r="B794">
            <v>1159</v>
          </cell>
          <cell r="C794">
            <v>43143</v>
          </cell>
          <cell r="D794" t="str">
            <v>YEIN  REY GUERRERO</v>
          </cell>
          <cell r="E794">
            <v>31</v>
          </cell>
          <cell r="F794" t="str">
            <v>RESOLUCION</v>
          </cell>
          <cell r="G794">
            <v>853</v>
          </cell>
          <cell r="H794">
            <v>43143</v>
          </cell>
          <cell r="I794" t="str">
            <v>AYUDA TEMPORAL A LAS FAMILIAS DE VARIAS LOCALIDADES, PARA RELOCALIZACIÓN DE HOGARES LOCALIZADOS EN ZONAS DE ALTO RIESGO NO MITIGABLE ID:2015-W166-301, LOCALIDAD:03 SANTA FE, UPZ:95 LAS CRUCES, SECTOR:UITOTO</v>
          </cell>
          <cell r="J794">
            <v>7702552</v>
          </cell>
          <cell r="K794">
            <v>0</v>
          </cell>
          <cell r="L794">
            <v>7702552</v>
          </cell>
          <cell r="M794">
            <v>2370016</v>
          </cell>
          <cell r="N794">
            <v>5332536</v>
          </cell>
        </row>
        <row r="795">
          <cell r="A795">
            <v>395</v>
          </cell>
          <cell r="B795">
            <v>1160</v>
          </cell>
          <cell r="C795">
            <v>43143</v>
          </cell>
          <cell r="D795" t="str">
            <v>NANCY MIREYA MOLINA CALVO</v>
          </cell>
          <cell r="E795">
            <v>31</v>
          </cell>
          <cell r="F795" t="str">
            <v>RESOLUCION</v>
          </cell>
          <cell r="G795">
            <v>854</v>
          </cell>
          <cell r="H795">
            <v>43143</v>
          </cell>
          <cell r="I795" t="str">
            <v>AYUDA TEMPORAL A LAS FAMILIAS DE VARIAS LOCALIDADES, PARA RELOCALIZACIÓN DE HOGARES LOCALIZADOS EN ZONAS DE ALTO RIESGO NO MITIGABLE ID:2016-08-14870, LOCALIDAD:08 KENNEDY, UPZ:82 PATIO BONITO, SECTOR:PALMITAS</v>
          </cell>
          <cell r="J795">
            <v>6618756</v>
          </cell>
          <cell r="K795">
            <v>0</v>
          </cell>
          <cell r="L795">
            <v>6618756</v>
          </cell>
          <cell r="M795">
            <v>1654689</v>
          </cell>
          <cell r="N795">
            <v>4964067</v>
          </cell>
        </row>
        <row r="796">
          <cell r="A796">
            <v>395</v>
          </cell>
          <cell r="B796">
            <v>1161</v>
          </cell>
          <cell r="C796">
            <v>43143</v>
          </cell>
          <cell r="D796" t="str">
            <v>VICTOR ALFONSO QUIROGA</v>
          </cell>
          <cell r="E796">
            <v>31</v>
          </cell>
          <cell r="F796" t="str">
            <v>RESOLUCION</v>
          </cell>
          <cell r="G796">
            <v>855</v>
          </cell>
          <cell r="H796">
            <v>43143</v>
          </cell>
          <cell r="I796" t="str">
            <v>AYUDA TEMPORAL A LAS FAMILIAS DE VARIAS LOCALIDADES, PARA RELOCALIZACIÓN DE HOGARES LOCALIZADOS EN ZONAS DE ALTO RIESGO NO MITIGABLE ID:2016-08-14775, LOCALIDAD:08 KENNEDY, UPZ:82 PATIO BONITO, SECTOR:PALMITAS</v>
          </cell>
          <cell r="J796">
            <v>5466487</v>
          </cell>
          <cell r="K796">
            <v>0</v>
          </cell>
          <cell r="L796">
            <v>5466487</v>
          </cell>
          <cell r="M796">
            <v>1261497</v>
          </cell>
          <cell r="N796">
            <v>4204990</v>
          </cell>
        </row>
        <row r="797">
          <cell r="A797">
            <v>395</v>
          </cell>
          <cell r="B797">
            <v>1162</v>
          </cell>
          <cell r="C797">
            <v>43143</v>
          </cell>
          <cell r="D797" t="str">
            <v>YEIMY MAVEL SANABRIA PAEZ</v>
          </cell>
          <cell r="E797">
            <v>31</v>
          </cell>
          <cell r="F797" t="str">
            <v>RESOLUCION</v>
          </cell>
          <cell r="G797">
            <v>856</v>
          </cell>
          <cell r="H797">
            <v>43143</v>
          </cell>
          <cell r="I797" t="str">
            <v>AYUDA TEMPORAL A LAS FAMILIAS DE VARIAS LOCALIDADES, PARA RELOCALIZACIÓN DE HOGARES LOCALIZADOS EN ZONAS DE ALTO RIESGO NO MITIGABLE ID:2011-19-12544, LOCALIDAD:19 CIUDAD BOLÍVAR, UPZ:69 ISMAEL PERDOMO, SECTOR:OLA INVERNAL 2010 FOPAE</v>
          </cell>
          <cell r="J797">
            <v>2213148</v>
          </cell>
          <cell r="K797">
            <v>1844290</v>
          </cell>
          <cell r="L797">
            <v>368858</v>
          </cell>
          <cell r="M797">
            <v>368858</v>
          </cell>
          <cell r="N797">
            <v>0</v>
          </cell>
        </row>
        <row r="798">
          <cell r="A798">
            <v>395</v>
          </cell>
          <cell r="B798">
            <v>1163</v>
          </cell>
          <cell r="C798">
            <v>43143</v>
          </cell>
          <cell r="D798" t="str">
            <v>JHONNY RAMON PEREA MURILLO</v>
          </cell>
          <cell r="E798">
            <v>31</v>
          </cell>
          <cell r="F798" t="str">
            <v>RESOLUCION</v>
          </cell>
          <cell r="G798">
            <v>857</v>
          </cell>
          <cell r="H798">
            <v>43143</v>
          </cell>
          <cell r="I798" t="str">
            <v>AYUDA TEMPORAL A LAS FAMILIAS DE VARIAS LOCALIDADES, PARA RELOCALIZACIÓN DE HOGARES LOCALIZADOS EN ZONAS DE ALTO RIESGO NO MITIGABLE ID:2012-18-14312, LOCALIDAD:18 RAFAEL URIBE URIBE, UPZ:55 DIANA TURBAY</v>
          </cell>
          <cell r="J798">
            <v>4426296</v>
          </cell>
          <cell r="K798">
            <v>0</v>
          </cell>
          <cell r="L798">
            <v>4426296</v>
          </cell>
          <cell r="M798">
            <v>1106574</v>
          </cell>
          <cell r="N798">
            <v>3319722</v>
          </cell>
        </row>
        <row r="799">
          <cell r="A799">
            <v>395</v>
          </cell>
          <cell r="B799">
            <v>1164</v>
          </cell>
          <cell r="C799">
            <v>43143</v>
          </cell>
          <cell r="D799" t="str">
            <v>VIRGINIA  JEREZ CASTRO</v>
          </cell>
          <cell r="E799">
            <v>31</v>
          </cell>
          <cell r="F799" t="str">
            <v>RESOLUCION</v>
          </cell>
          <cell r="G799">
            <v>777</v>
          </cell>
          <cell r="H799">
            <v>43143</v>
          </cell>
          <cell r="I799" t="str">
            <v>AYUDA TEMPORAL A LAS FAMILIAS DE VARIAS LOCALIDADES, PARA RELOCALIZACIÓN DE HOGARES LOCALIZADOS EN ZONAS DE ALTO RIESGO NO MITIGABLE ID:2011-4-12672, LOCALIDAD:04 SAN CRISTÓBAL, UPZ:32 SAN BLAS,</v>
          </cell>
          <cell r="J799">
            <v>5490900</v>
          </cell>
          <cell r="K799">
            <v>0</v>
          </cell>
          <cell r="L799">
            <v>5490900</v>
          </cell>
          <cell r="M799">
            <v>915150</v>
          </cell>
          <cell r="N799">
            <v>4575750</v>
          </cell>
        </row>
        <row r="800">
          <cell r="A800">
            <v>395</v>
          </cell>
          <cell r="B800">
            <v>1165</v>
          </cell>
          <cell r="C800">
            <v>43143</v>
          </cell>
          <cell r="D800" t="str">
            <v>ANDREA MILENA PRIETO</v>
          </cell>
          <cell r="E800">
            <v>31</v>
          </cell>
          <cell r="F800" t="str">
            <v>RESOLUCION</v>
          </cell>
          <cell r="G800">
            <v>858</v>
          </cell>
          <cell r="H800">
            <v>43143</v>
          </cell>
          <cell r="I800" t="str">
            <v>AYUDA TEMPORAL A LAS FAMILIAS DE VARIAS LOCALIDADES, PARA RELOCALIZACIÓN DE HOGARES LOCALIZADOS EN ZONAS DE ALTO RIESGO NO MITIGABLE ID:2013-Q10-00207, LOCALIDAD:19 CIUDAD BOLÍVAR, UPZ:67 LUCERO, SECTOR:PEÑA COLORADA</v>
          </cell>
          <cell r="J800">
            <v>2882880</v>
          </cell>
          <cell r="K800">
            <v>0</v>
          </cell>
          <cell r="L800">
            <v>2882880</v>
          </cell>
          <cell r="M800">
            <v>1441440</v>
          </cell>
          <cell r="N800">
            <v>1441440</v>
          </cell>
        </row>
        <row r="801">
          <cell r="A801">
            <v>395</v>
          </cell>
          <cell r="B801">
            <v>1166</v>
          </cell>
          <cell r="C801">
            <v>43143</v>
          </cell>
          <cell r="D801" t="str">
            <v>CAROLINA  RUBIO MANCIPE</v>
          </cell>
          <cell r="E801">
            <v>31</v>
          </cell>
          <cell r="F801" t="str">
            <v>RESOLUCION</v>
          </cell>
          <cell r="G801">
            <v>859</v>
          </cell>
          <cell r="H801">
            <v>43143</v>
          </cell>
          <cell r="I801" t="str">
            <v>AYUDA TEMPORAL A LAS FAMILIAS DE VARIAS LOCALIDADES, PARA RELOCALIZACIÓN DE HOGARES LOCALIZADOS EN ZONAS DE ALTO RIESGO NO MITIGABLE ID:2015-19-14752, LOCALIDAD:19 CIUDAD BOLÍVAR, UPZ:67 LUCERO</v>
          </cell>
          <cell r="J801">
            <v>6163755</v>
          </cell>
          <cell r="K801">
            <v>0</v>
          </cell>
          <cell r="L801">
            <v>6163755</v>
          </cell>
          <cell r="M801">
            <v>1896540</v>
          </cell>
          <cell r="N801">
            <v>4267215</v>
          </cell>
        </row>
        <row r="802">
          <cell r="A802">
            <v>395</v>
          </cell>
          <cell r="B802">
            <v>1167</v>
          </cell>
          <cell r="C802">
            <v>43143</v>
          </cell>
          <cell r="D802" t="str">
            <v>YOLANDA  MANCIPE GIRALDO</v>
          </cell>
          <cell r="E802">
            <v>31</v>
          </cell>
          <cell r="F802" t="str">
            <v>RESOLUCION</v>
          </cell>
          <cell r="G802">
            <v>884</v>
          </cell>
          <cell r="H802">
            <v>43143</v>
          </cell>
          <cell r="I802" t="str">
            <v>AYUDA TEMPORAL A LAS FAMILIAS DE VARIAS LOCALIDADES, PARA RELOCALIZACIÓN DE HOGARES LOCALIZADOS EN ZONAS DE ALTO RIESGO NO MITIGABLE ID:2012-19-13845, LOCALIDAD:19 CIUDAD BOLÍVAR, UPZ:67 LUCERO</v>
          </cell>
          <cell r="J802">
            <v>2899710</v>
          </cell>
          <cell r="K802">
            <v>0</v>
          </cell>
          <cell r="L802">
            <v>2899710</v>
          </cell>
          <cell r="M802">
            <v>1933140</v>
          </cell>
          <cell r="N802">
            <v>966570</v>
          </cell>
        </row>
        <row r="803">
          <cell r="A803">
            <v>395</v>
          </cell>
          <cell r="B803">
            <v>1168</v>
          </cell>
          <cell r="C803">
            <v>43143</v>
          </cell>
          <cell r="D803" t="str">
            <v>SIXTA ROGELIA PINILLA DE RODRIGUEZ</v>
          </cell>
          <cell r="E803">
            <v>31</v>
          </cell>
          <cell r="F803" t="str">
            <v>RESOLUCION</v>
          </cell>
          <cell r="G803">
            <v>860</v>
          </cell>
          <cell r="H803">
            <v>43143</v>
          </cell>
          <cell r="I803" t="str">
            <v>AYUDA TEMPORAL A LAS FAMILIAS DE VARIAS LOCALIDADES, PARA RELOCALIZACIÓN DE HOGARES LOCALIZADOS EN ZONAS DE ALTO RIESGO NO MITIGABLE ID:2006-19-8097, LOCALIDAD:19 CIUDAD BOLÍVAR, UPZ:67 LUCERO, SECTOR:LIMAS</v>
          </cell>
          <cell r="J803">
            <v>2860710</v>
          </cell>
          <cell r="K803">
            <v>0</v>
          </cell>
          <cell r="L803">
            <v>2860710</v>
          </cell>
          <cell r="M803">
            <v>1430355</v>
          </cell>
          <cell r="N803">
            <v>1430355</v>
          </cell>
        </row>
        <row r="804">
          <cell r="A804">
            <v>395</v>
          </cell>
          <cell r="B804">
            <v>1169</v>
          </cell>
          <cell r="C804">
            <v>43143</v>
          </cell>
          <cell r="D804" t="str">
            <v>VIVIANA GERALDINE GARZON VARGAS</v>
          </cell>
          <cell r="E804">
            <v>31</v>
          </cell>
          <cell r="F804" t="str">
            <v>RESOLUCION</v>
          </cell>
          <cell r="G804">
            <v>861</v>
          </cell>
          <cell r="H804">
            <v>43143</v>
          </cell>
          <cell r="I804" t="str">
            <v>AYUDA TEMPORAL A LAS FAMILIAS DE VARIAS LOCALIDADES, PARA RELOCALIZACIÓN DE HOGARES LOCALIZADOS EN ZONAS DE ALTO RIESGO NO MITIGABLE ID:2016-OTR-01553, LOCALIDAD:04 SAN CRISTÓBAL, UPZ:32 SAN BLAS, SECTOR:TRIANGULO ALTO</v>
          </cell>
          <cell r="J804">
            <v>6274047</v>
          </cell>
          <cell r="K804">
            <v>0</v>
          </cell>
          <cell r="L804">
            <v>6274047</v>
          </cell>
          <cell r="M804">
            <v>1930476</v>
          </cell>
          <cell r="N804">
            <v>4343571</v>
          </cell>
        </row>
        <row r="805">
          <cell r="A805">
            <v>395</v>
          </cell>
          <cell r="B805">
            <v>1170</v>
          </cell>
          <cell r="C805">
            <v>43143</v>
          </cell>
          <cell r="D805" t="str">
            <v>GUMERCINDO  HERNANDEZ QUINTERO</v>
          </cell>
          <cell r="E805">
            <v>31</v>
          </cell>
          <cell r="F805" t="str">
            <v>RESOLUCION</v>
          </cell>
          <cell r="G805">
            <v>778</v>
          </cell>
          <cell r="H805">
            <v>43143</v>
          </cell>
          <cell r="I805" t="str">
            <v>AYUDA TEMPORAL A LAS FAMILIAS DE VARIAS LOCALIDADES, PARA RELOCALIZACIÓN DE HOGARES LOCALIZADOS EN ZONAS DE ALTO RIESGO NO MITIGABLE ID:2016-08-14889, LOCALIDAD:08 KENNEDY, UPZ:82 PATIO BONITO, SECTOR:PALMITAS</v>
          </cell>
          <cell r="J805">
            <v>3356612</v>
          </cell>
          <cell r="K805">
            <v>0</v>
          </cell>
          <cell r="L805">
            <v>3356612</v>
          </cell>
          <cell r="M805">
            <v>1918064</v>
          </cell>
          <cell r="N805">
            <v>1438548</v>
          </cell>
        </row>
        <row r="806">
          <cell r="A806">
            <v>395</v>
          </cell>
          <cell r="B806">
            <v>1171</v>
          </cell>
          <cell r="C806">
            <v>43143</v>
          </cell>
          <cell r="D806" t="str">
            <v>MARLENE  MEDINA RODRIGUEZ</v>
          </cell>
          <cell r="E806">
            <v>31</v>
          </cell>
          <cell r="F806" t="str">
            <v>RESOLUCION</v>
          </cell>
          <cell r="G806">
            <v>862</v>
          </cell>
          <cell r="H806">
            <v>43143</v>
          </cell>
          <cell r="I806" t="str">
            <v>AYUDA TEMPORAL A LAS FAMILIAS DE VARIAS LOCALIDADES, PARA RELOCALIZACIÓN DE HOGARES LOCALIZADOS EN ZONAS DE ALTO RIESGO NO MITIGABLE ID:2017-04-14981, LOCALIDAD:04 SAN CRISTÓBAL, UPZ:50 LA GLORIA</v>
          </cell>
          <cell r="J806">
            <v>7672262</v>
          </cell>
          <cell r="K806">
            <v>0</v>
          </cell>
          <cell r="L806">
            <v>7672262</v>
          </cell>
          <cell r="M806">
            <v>2360696</v>
          </cell>
          <cell r="N806">
            <v>5311566</v>
          </cell>
        </row>
        <row r="807">
          <cell r="A807">
            <v>395</v>
          </cell>
          <cell r="B807">
            <v>1172</v>
          </cell>
          <cell r="C807">
            <v>43143</v>
          </cell>
          <cell r="D807" t="str">
            <v>HECTOR  CIFUENTES</v>
          </cell>
          <cell r="E807">
            <v>31</v>
          </cell>
          <cell r="F807" t="str">
            <v>RESOLUCION</v>
          </cell>
          <cell r="G807">
            <v>885</v>
          </cell>
          <cell r="H807">
            <v>43143</v>
          </cell>
          <cell r="I807" t="str">
            <v>AYUDA TEMPORAL A LAS FAMILIAS DE VARIAS LOCALIDADES, PARA RELOCALIZACIÓN DE HOGARES LOCALIZADOS EN ZONAS DE ALTO RIESGO NO MITIGABLE ID:2012-19-13865, LOCALIDAD:19 CIUDAD BOLÍVAR, UPZ:67 LUCERO</v>
          </cell>
          <cell r="J807">
            <v>2442336</v>
          </cell>
          <cell r="K807">
            <v>0</v>
          </cell>
          <cell r="L807">
            <v>2442336</v>
          </cell>
          <cell r="M807">
            <v>1628224</v>
          </cell>
          <cell r="N807">
            <v>814112</v>
          </cell>
        </row>
        <row r="808">
          <cell r="A808">
            <v>395</v>
          </cell>
          <cell r="B808">
            <v>1173</v>
          </cell>
          <cell r="C808">
            <v>43143</v>
          </cell>
          <cell r="D808" t="str">
            <v>MARIA LUZ MERNI USECHE</v>
          </cell>
          <cell r="E808">
            <v>31</v>
          </cell>
          <cell r="F808" t="str">
            <v>RESOLUCION</v>
          </cell>
          <cell r="G808">
            <v>863</v>
          </cell>
          <cell r="H808">
            <v>43143</v>
          </cell>
          <cell r="I808" t="str">
            <v>AYUDA TEMPORAL A LAS FAMILIAS DE VARIAS LOCALIDADES, PARA RELOCALIZACIÓN DE HOGARES LOCALIZADOS EN ZONAS DE ALTO RIESGO NO MITIGABLE ID:2012-19-13969, LOCALIDAD:19 CIUDAD BOLÍVAR, UPZ:68 EL TESORO</v>
          </cell>
          <cell r="J808">
            <v>6030557</v>
          </cell>
          <cell r="K808">
            <v>0</v>
          </cell>
          <cell r="L808">
            <v>6030557</v>
          </cell>
          <cell r="M808">
            <v>1855556</v>
          </cell>
          <cell r="N808">
            <v>4175001</v>
          </cell>
        </row>
        <row r="809">
          <cell r="A809">
            <v>395</v>
          </cell>
          <cell r="B809">
            <v>1174</v>
          </cell>
          <cell r="C809">
            <v>43143</v>
          </cell>
          <cell r="D809" t="str">
            <v>MARIBEL  PARRADO CABEZAS</v>
          </cell>
          <cell r="E809">
            <v>31</v>
          </cell>
          <cell r="F809" t="str">
            <v>RESOLUCION</v>
          </cell>
          <cell r="G809">
            <v>886</v>
          </cell>
          <cell r="H809">
            <v>43143</v>
          </cell>
          <cell r="I809" t="str">
            <v>AYUDA TEMPORAL A LAS FAMILIAS DE VARIAS LOCALIDADES, PARA RELOCALIZACIÓN DE HOGARES LOCALIZADOS EN ZONAS DE ALTO RIESGO NO MITIGABLE ID:2011-19-13515, LOCALIDAD:19 CIUDAD BOLÍVAR, UPZ:68 EL TESORO.</v>
          </cell>
          <cell r="J809">
            <v>2439360</v>
          </cell>
          <cell r="K809">
            <v>0</v>
          </cell>
          <cell r="L809">
            <v>2439360</v>
          </cell>
          <cell r="M809">
            <v>1626240</v>
          </cell>
          <cell r="N809">
            <v>813120</v>
          </cell>
        </row>
        <row r="810">
          <cell r="A810">
            <v>395</v>
          </cell>
          <cell r="B810">
            <v>1175</v>
          </cell>
          <cell r="C810">
            <v>43143</v>
          </cell>
          <cell r="D810" t="str">
            <v>MILEIDY  MALAGON RINCON</v>
          </cell>
          <cell r="E810">
            <v>31</v>
          </cell>
          <cell r="F810" t="str">
            <v>RESOLUCION</v>
          </cell>
          <cell r="G810">
            <v>779</v>
          </cell>
          <cell r="H810">
            <v>43143</v>
          </cell>
          <cell r="I810" t="str">
            <v>AYUDA TEMPORAL A LAS FAMILIAS DE VARIAS LOCALIDADES, PARA RELOCALIZACIÓN DE HOGARES LOCALIZADOS EN ZONAS DE ALTO RIESGO NO MITIGABLE ID:2016-08-14771, LOCALIDAD:08 KENNEDY, UPZ:82 PATIO BONITO, SECTOR:PALMITAS</v>
          </cell>
          <cell r="J810">
            <v>3098412</v>
          </cell>
          <cell r="K810">
            <v>0</v>
          </cell>
          <cell r="L810">
            <v>3098412</v>
          </cell>
          <cell r="M810">
            <v>1032804</v>
          </cell>
          <cell r="N810">
            <v>2065608</v>
          </cell>
        </row>
        <row r="811">
          <cell r="A811">
            <v>395</v>
          </cell>
          <cell r="B811">
            <v>1176</v>
          </cell>
          <cell r="C811">
            <v>43143</v>
          </cell>
          <cell r="D811" t="str">
            <v>YEISON ESNEIDER RONCANCIO BUITRAGO</v>
          </cell>
          <cell r="E811">
            <v>31</v>
          </cell>
          <cell r="F811" t="str">
            <v>RESOLUCION</v>
          </cell>
          <cell r="G811">
            <v>864</v>
          </cell>
          <cell r="H811">
            <v>43143</v>
          </cell>
          <cell r="I811" t="str">
            <v>AYUDA TEMPORAL A LAS FAMILIAS DE VARIAS LOCALIDADES, PARA RELOCALIZACIÓN DE HOGARES LOCALIZADOS EN ZONAS DE ALTO RIESGO NO MITIGABLE ID:2016-08-14793, LOCALIDAD:08 KENNEDY, UPZ:82 PATIO BONITO, SECTOR:PALMITAS</v>
          </cell>
          <cell r="J811">
            <v>3614814</v>
          </cell>
          <cell r="K811">
            <v>0</v>
          </cell>
          <cell r="L811">
            <v>3614814</v>
          </cell>
          <cell r="M811">
            <v>1549206</v>
          </cell>
          <cell r="N811">
            <v>2065608</v>
          </cell>
        </row>
        <row r="812">
          <cell r="A812">
            <v>395</v>
          </cell>
          <cell r="B812">
            <v>1177</v>
          </cell>
          <cell r="C812">
            <v>43143</v>
          </cell>
          <cell r="D812" t="str">
            <v>JORGE ENRIQUE CORTES</v>
          </cell>
          <cell r="E812">
            <v>31</v>
          </cell>
          <cell r="F812" t="str">
            <v>RESOLUCION</v>
          </cell>
          <cell r="G812">
            <v>887</v>
          </cell>
          <cell r="H812">
            <v>43143</v>
          </cell>
          <cell r="I812" t="str">
            <v>AYUDA TEMPORAL A LAS FAMILIAS DE VARIAS LOCALIDADES, PARA RELOCALIZACIÓN DE HOGARES LOCALIZADOS EN ZONAS DE ALTO RIESGO NO MITIGABLE ID:2010-19-11684, LOCALIDAD:19 CIUDAD BOLÍVAR, UPZ:69 ISMAEL PERDOMO, SECTOR:OLA INVERNAL 2010 FOPAE</v>
          </cell>
          <cell r="J812">
            <v>2213148</v>
          </cell>
          <cell r="K812">
            <v>0</v>
          </cell>
          <cell r="L812">
            <v>2213148</v>
          </cell>
          <cell r="M812">
            <v>737716</v>
          </cell>
          <cell r="N812">
            <v>1475432</v>
          </cell>
        </row>
        <row r="813">
          <cell r="A813">
            <v>395</v>
          </cell>
          <cell r="B813">
            <v>1178</v>
          </cell>
          <cell r="C813">
            <v>43143</v>
          </cell>
          <cell r="D813" t="str">
            <v>JOSE NELSON BOCANEGRA SILVA</v>
          </cell>
          <cell r="E813">
            <v>31</v>
          </cell>
          <cell r="F813" t="str">
            <v>RESOLUCION</v>
          </cell>
          <cell r="G813">
            <v>865</v>
          </cell>
          <cell r="H813">
            <v>43143</v>
          </cell>
          <cell r="I813" t="str">
            <v>AYUDA TEMPORAL A LAS FAMILIAS DE VARIAS LOCALIDADES, PARA RELOCALIZACIÓN DE HOGARES LOCALIZADOS EN ZONAS DE ALTO RIESGO NO MITIGABLE ID:2011-4-12633, LOCALIDAD:04 SAN CRISTÓBAL, UPZ:32 SAN BLAS</v>
          </cell>
          <cell r="J813">
            <v>2668074</v>
          </cell>
          <cell r="K813">
            <v>0</v>
          </cell>
          <cell r="L813">
            <v>2668074</v>
          </cell>
          <cell r="M813">
            <v>1334037</v>
          </cell>
          <cell r="N813">
            <v>1334037</v>
          </cell>
        </row>
        <row r="814">
          <cell r="A814">
            <v>395</v>
          </cell>
          <cell r="B814">
            <v>1179</v>
          </cell>
          <cell r="C814">
            <v>43143</v>
          </cell>
          <cell r="D814" t="str">
            <v>FAYSULI  RIVERA RIVERA</v>
          </cell>
          <cell r="E814">
            <v>31</v>
          </cell>
          <cell r="F814" t="str">
            <v>RESOLUCION</v>
          </cell>
          <cell r="G814">
            <v>780</v>
          </cell>
          <cell r="H814">
            <v>43143</v>
          </cell>
          <cell r="I814" t="str">
            <v>AYUDA TEMPORAL A LAS FAMILIAS DE VARIAS LOCALIDADES, PARA RELOCALIZACIÓN DE HOGARES LOCALIZADOS EN ZONAS DE ALTO RIESGO NO MITIGABLE ID:2016-08-14880, LOCALIDAD:08 KENNEDY, UPZ:82 PATIO BONITO, SECTOR:PALMITAS</v>
          </cell>
          <cell r="J814">
            <v>3233538</v>
          </cell>
          <cell r="K814">
            <v>0</v>
          </cell>
          <cell r="L814">
            <v>3233538</v>
          </cell>
          <cell r="M814">
            <v>1847736</v>
          </cell>
          <cell r="N814">
            <v>1385802</v>
          </cell>
        </row>
        <row r="815">
          <cell r="A815">
            <v>395</v>
          </cell>
          <cell r="B815">
            <v>1180</v>
          </cell>
          <cell r="C815">
            <v>43143</v>
          </cell>
          <cell r="D815" t="str">
            <v>ORLANDO  AGUIRRE GARCIA</v>
          </cell>
          <cell r="E815">
            <v>31</v>
          </cell>
          <cell r="F815" t="str">
            <v>RESOLUCION</v>
          </cell>
          <cell r="G815">
            <v>866</v>
          </cell>
          <cell r="H815">
            <v>43143</v>
          </cell>
          <cell r="I815" t="str">
            <v>AYUDA TEMPORAL A LAS FAMILIAS DE VARIAS LOCALIDADES, PARA RELOCALIZACIÓN DE HOGARES LOCALIZADOS EN ZONAS DE ALTO RIESGO NO MITIGABLE ID:2012-T314-20, LOCALIDAD:04 SAN CRISTÓBAL, UPZ:50 LA GLORIA</v>
          </cell>
          <cell r="J815">
            <v>2522994</v>
          </cell>
          <cell r="K815">
            <v>0</v>
          </cell>
          <cell r="L815">
            <v>2522994</v>
          </cell>
          <cell r="M815">
            <v>1261497</v>
          </cell>
          <cell r="N815">
            <v>1261497</v>
          </cell>
        </row>
        <row r="816">
          <cell r="A816">
            <v>395</v>
          </cell>
          <cell r="B816">
            <v>1181</v>
          </cell>
          <cell r="C816">
            <v>43143</v>
          </cell>
          <cell r="D816" t="str">
            <v>YANETH  QUIÑONES PRIETO</v>
          </cell>
          <cell r="E816">
            <v>31</v>
          </cell>
          <cell r="F816" t="str">
            <v>RESOLUCION</v>
          </cell>
          <cell r="G816">
            <v>888</v>
          </cell>
          <cell r="H816">
            <v>43143</v>
          </cell>
          <cell r="I816" t="str">
            <v>AYUDA TEMPORAL A LAS FAMILIAS DE VARIAS LOCALIDADES, PARA RELOCALIZACIÓN DE HOGARES LOCALIZADOS EN ZONAS DE ALTO RIESGO NO MITIGABLE ID:2012-ALES-223, LOCALIDAD:19 CIUDAD BOLÍVAR, UPZ:69 ISMAEL PERDOMO</v>
          </cell>
          <cell r="J816">
            <v>2586000</v>
          </cell>
          <cell r="K816">
            <v>0</v>
          </cell>
          <cell r="L816">
            <v>2586000</v>
          </cell>
          <cell r="M816">
            <v>1293000</v>
          </cell>
          <cell r="N816">
            <v>1293000</v>
          </cell>
        </row>
        <row r="817">
          <cell r="A817">
            <v>395</v>
          </cell>
          <cell r="B817">
            <v>1182</v>
          </cell>
          <cell r="C817">
            <v>43143</v>
          </cell>
          <cell r="D817" t="str">
            <v>MARIA BELLANITH MAYOR PEDRAZA</v>
          </cell>
          <cell r="E817">
            <v>31</v>
          </cell>
          <cell r="F817" t="str">
            <v>RESOLUCION</v>
          </cell>
          <cell r="G817">
            <v>867</v>
          </cell>
          <cell r="H817">
            <v>43143</v>
          </cell>
          <cell r="I817" t="str">
            <v>AYUDA TEMPORAL A LAS FAMILIAS DE VARIAS LOCALIDADES, PARA RELOCALIZACIÓN DE HOGARES LOCALIZADOS EN ZONAS DE ALTO RIESGO NO MITIGABLE ID:2011-4-12688, LOCALIDAD:04 SAN CRISTÓBAL, UPZ:32 SAN BLAS</v>
          </cell>
          <cell r="J817">
            <v>2965620</v>
          </cell>
          <cell r="K817">
            <v>0</v>
          </cell>
          <cell r="L817">
            <v>2965620</v>
          </cell>
          <cell r="M817">
            <v>1482810</v>
          </cell>
          <cell r="N817">
            <v>1482810</v>
          </cell>
        </row>
        <row r="818">
          <cell r="A818">
            <v>395</v>
          </cell>
          <cell r="B818">
            <v>1183</v>
          </cell>
          <cell r="C818">
            <v>43143</v>
          </cell>
          <cell r="D818" t="str">
            <v>LADY ALEJANDRA BULLA MARTINEZ</v>
          </cell>
          <cell r="E818">
            <v>31</v>
          </cell>
          <cell r="F818" t="str">
            <v>RESOLUCION</v>
          </cell>
          <cell r="G818">
            <v>781</v>
          </cell>
          <cell r="H818">
            <v>43143</v>
          </cell>
          <cell r="I818" t="str">
            <v>AYUDA TEMPORAL A LAS FAMILIAS DE VARIAS LOCALIDADES, PARA RELOCALIZACIÓN DE HOGARES LOCALIZADOS EN ZONAS DE ALTO RIESGO NO MITIGABLE ID:2014-OTR-00985, LOCALIDAD:03 SANTA FE, UPZ:96 LOURDES, SECTOR:CASA 1</v>
          </cell>
          <cell r="J818">
            <v>3098410</v>
          </cell>
          <cell r="K818">
            <v>0</v>
          </cell>
          <cell r="L818">
            <v>3098410</v>
          </cell>
          <cell r="M818">
            <v>1770520</v>
          </cell>
          <cell r="N818">
            <v>1327890</v>
          </cell>
        </row>
        <row r="819">
          <cell r="A819">
            <v>395</v>
          </cell>
          <cell r="B819">
            <v>1184</v>
          </cell>
          <cell r="C819">
            <v>43143</v>
          </cell>
          <cell r="D819" t="str">
            <v>JENNY MARITZA JAJOY JANSASOY</v>
          </cell>
          <cell r="E819">
            <v>31</v>
          </cell>
          <cell r="F819" t="str">
            <v>RESOLUCION</v>
          </cell>
          <cell r="G819">
            <v>889</v>
          </cell>
          <cell r="H819">
            <v>43143</v>
          </cell>
          <cell r="I819" t="str">
            <v>AYUDA TEMPORAL A LAS FAMILIAS DE VARIAS LOCALIDADES, PARA RELOCALIZACIÓN DE HOGARES LOCALIZADOS EN ZONAS DE ALTO RIESGO NO MITIGABLE ID:2014-C01-00689, LOCALIDAD:19 CIUDAD BOLÍVAR, UPZ:68 EL TESORO.</v>
          </cell>
          <cell r="J819">
            <v>2402505</v>
          </cell>
          <cell r="K819">
            <v>0</v>
          </cell>
          <cell r="L819">
            <v>2402505</v>
          </cell>
          <cell r="M819">
            <v>1922004</v>
          </cell>
          <cell r="N819">
            <v>480501</v>
          </cell>
        </row>
        <row r="820">
          <cell r="A820">
            <v>395</v>
          </cell>
          <cell r="B820">
            <v>1185</v>
          </cell>
          <cell r="C820">
            <v>43143</v>
          </cell>
          <cell r="D820" t="str">
            <v>VICTOR ANTONIO RIVERO SEVILLA</v>
          </cell>
          <cell r="E820">
            <v>31</v>
          </cell>
          <cell r="F820" t="str">
            <v>RESOLUCION</v>
          </cell>
          <cell r="G820">
            <v>868</v>
          </cell>
          <cell r="H820">
            <v>43143</v>
          </cell>
          <cell r="I820" t="str">
            <v>AYUDA TEMPORAL A LAS FAMILIAS DE VARIAS LOCALIDADES, PARA RELOCALIZACIÓN DE HOGARES LOCALIZADOS EN ZONAS DE ALTO RIESGO NO MITIGABLE ID:2011-4-12657, LOCALIDAD:04 SAN CRISTÓBAL, UPZ:32 SAN BLAS</v>
          </cell>
          <cell r="J820">
            <v>2886588</v>
          </cell>
          <cell r="K820">
            <v>0</v>
          </cell>
          <cell r="L820">
            <v>2886588</v>
          </cell>
          <cell r="M820">
            <v>1443294</v>
          </cell>
          <cell r="N820">
            <v>1443294</v>
          </cell>
        </row>
        <row r="821">
          <cell r="A821">
            <v>395</v>
          </cell>
          <cell r="B821">
            <v>1186</v>
          </cell>
          <cell r="C821">
            <v>43143</v>
          </cell>
          <cell r="D821" t="str">
            <v>LUIS ALBERTO MIRANDA MORELO</v>
          </cell>
          <cell r="E821">
            <v>31</v>
          </cell>
          <cell r="F821" t="str">
            <v>RESOLUCION</v>
          </cell>
          <cell r="G821">
            <v>869</v>
          </cell>
          <cell r="H821">
            <v>43143</v>
          </cell>
          <cell r="I821" t="str">
            <v>AYUDA TEMPORAL A LAS FAMILIAS DE VARIAS LOCALIDADES, PARA RELOCALIZACIÓN DE HOGARES LOCALIZADOS EN ZONAS DE ALTO RIESGO NO MITIGABLE ID:2012-T314-08, LOCALIDAD:04 SAN CRISTÓBAL, UPZ:50 LA GLORIA</v>
          </cell>
          <cell r="J821">
            <v>2652156</v>
          </cell>
          <cell r="K821">
            <v>0</v>
          </cell>
          <cell r="L821">
            <v>2652156</v>
          </cell>
          <cell r="M821">
            <v>1326078</v>
          </cell>
          <cell r="N821">
            <v>1326078</v>
          </cell>
        </row>
        <row r="822">
          <cell r="A822">
            <v>395</v>
          </cell>
          <cell r="B822">
            <v>1187</v>
          </cell>
          <cell r="C822">
            <v>43143</v>
          </cell>
          <cell r="D822" t="str">
            <v>CINDY PAOLA MARTINEZ ECHEVERRY</v>
          </cell>
          <cell r="E822">
            <v>31</v>
          </cell>
          <cell r="F822" t="str">
            <v>RESOLUCION</v>
          </cell>
          <cell r="G822">
            <v>890</v>
          </cell>
          <cell r="H822">
            <v>43143</v>
          </cell>
          <cell r="I822" t="str">
            <v>AYUDA TEMPORAL A LAS FAMILIAS DE VARIAS LOCALIDADES, PARA RELOCALIZACIÓN DE HOGARES LOCALIZADOS EN ZONAS DE ALTO RIESGO NO MITIGABLE ID:2016-08-14805, LOCALIDAD:08 KENNEDY, UPZ:82 PATIO BONITO, SECTOR:PALMITAS</v>
          </cell>
          <cell r="J822">
            <v>2286925</v>
          </cell>
          <cell r="K822">
            <v>0</v>
          </cell>
          <cell r="L822">
            <v>2286925</v>
          </cell>
          <cell r="M822">
            <v>1372155</v>
          </cell>
          <cell r="N822">
            <v>914770</v>
          </cell>
        </row>
        <row r="823">
          <cell r="A823">
            <v>395</v>
          </cell>
          <cell r="B823">
            <v>1188</v>
          </cell>
          <cell r="C823">
            <v>43143</v>
          </cell>
          <cell r="D823" t="str">
            <v>ELISABEL  REDONDO MOLINA</v>
          </cell>
          <cell r="E823">
            <v>31</v>
          </cell>
          <cell r="F823" t="str">
            <v>RESOLUCION</v>
          </cell>
          <cell r="G823">
            <v>782</v>
          </cell>
          <cell r="H823">
            <v>43143</v>
          </cell>
          <cell r="I823" t="str">
            <v>AYUDA TEMPORAL A LAS FAMILIAS DE VARIAS LOCALIDADES, PARA RELOCALIZACIÓN DE HOGARES LOCALIZADOS EN ZONAS DE ALTO RIESGO NO MITIGABLE ID:2017-08-14925, LOCALIDAD:08 KENNEDY, UPZ:82 PATIO BONITO, SECTOR:PALMITAS</v>
          </cell>
          <cell r="J823">
            <v>3873016</v>
          </cell>
          <cell r="K823">
            <v>0</v>
          </cell>
          <cell r="L823">
            <v>3873016</v>
          </cell>
          <cell r="M823">
            <v>2213152</v>
          </cell>
          <cell r="N823">
            <v>1659864</v>
          </cell>
        </row>
        <row r="824">
          <cell r="A824">
            <v>395</v>
          </cell>
          <cell r="B824">
            <v>1189</v>
          </cell>
          <cell r="C824">
            <v>43143</v>
          </cell>
          <cell r="D824" t="str">
            <v>MARIA HELENA GONZALEZ MENA</v>
          </cell>
          <cell r="E824">
            <v>31</v>
          </cell>
          <cell r="F824" t="str">
            <v>RESOLUCION</v>
          </cell>
          <cell r="G824">
            <v>870</v>
          </cell>
          <cell r="H824">
            <v>43143</v>
          </cell>
          <cell r="I824" t="str">
            <v>AYUDA TEMPORAL A LAS FAMILIAS DE VARIAS LOCALIDADES, PARA RELOCALIZACIÓN DE HOGARES LOCALIZADOS EN ZONAS DE ALTO RIESGO NO MITIGABLE ID:2015-OTR-01462, LOCALIDAD:02 CHAPINERO, UPZ:90 PARDO RUBIO</v>
          </cell>
          <cell r="J824">
            <v>3441024</v>
          </cell>
          <cell r="K824">
            <v>0</v>
          </cell>
          <cell r="L824">
            <v>3441024</v>
          </cell>
          <cell r="M824">
            <v>1720512</v>
          </cell>
          <cell r="N824">
            <v>1720512</v>
          </cell>
        </row>
        <row r="825">
          <cell r="A825">
            <v>395</v>
          </cell>
          <cell r="B825">
            <v>1190</v>
          </cell>
          <cell r="C825">
            <v>43143</v>
          </cell>
          <cell r="D825" t="str">
            <v>EMIR  CARPIO LUVIEZA</v>
          </cell>
          <cell r="E825">
            <v>31</v>
          </cell>
          <cell r="F825" t="str">
            <v>RESOLUCION</v>
          </cell>
          <cell r="G825">
            <v>891</v>
          </cell>
          <cell r="H825">
            <v>43143</v>
          </cell>
          <cell r="I825" t="str">
            <v>AYUDA TEMPORAL A LAS FAMILIAS DE VARIAS LOCALIDADES, PARA RELOCALIZACIÓN DE HOGARES LOCALIZADOS EN ZONAS DE ALTO RIESGO NO MITIGABLE ID:2014-W166-038, LOCALIDAD:19 CIUDAD BOLÍVAR, UPZ:68 EL TESORO, SECTOR:WOUNAAN</v>
          </cell>
          <cell r="J825">
            <v>2878200</v>
          </cell>
          <cell r="K825">
            <v>0</v>
          </cell>
          <cell r="L825">
            <v>2878200</v>
          </cell>
          <cell r="M825">
            <v>1918800</v>
          </cell>
          <cell r="N825">
            <v>959400</v>
          </cell>
        </row>
        <row r="826">
          <cell r="A826">
            <v>395</v>
          </cell>
          <cell r="B826">
            <v>1191</v>
          </cell>
          <cell r="C826">
            <v>43143</v>
          </cell>
          <cell r="D826" t="str">
            <v>PLACIDO  MENDOZA MUINANE</v>
          </cell>
          <cell r="E826">
            <v>31</v>
          </cell>
          <cell r="F826" t="str">
            <v>RESOLUCION</v>
          </cell>
          <cell r="G826">
            <v>783</v>
          </cell>
          <cell r="H826">
            <v>43143</v>
          </cell>
          <cell r="I826" t="str">
            <v>AYUDA TEMPORAL A LAS FAMILIAS DE VARIAS LOCALIDADES, PARA RELOCALIZACIÓN DE HOGARES LOCALIZADOS EN ZONAS DE ALTO RIESGO NO MITIGABLE ID:2015-W166-505, LOCALIDAD:03 SANTA FE, UPZ:96 LOURDES, SECTOR:UITOTO</v>
          </cell>
          <cell r="J826">
            <v>7119970</v>
          </cell>
          <cell r="K826">
            <v>0</v>
          </cell>
          <cell r="L826">
            <v>7119970</v>
          </cell>
          <cell r="M826">
            <v>2190760</v>
          </cell>
          <cell r="N826">
            <v>4929210</v>
          </cell>
        </row>
        <row r="827">
          <cell r="A827">
            <v>395</v>
          </cell>
          <cell r="B827">
            <v>1192</v>
          </cell>
          <cell r="C827">
            <v>43143</v>
          </cell>
          <cell r="D827" t="str">
            <v>PEDRO PABLO RINCON VELASQUEZ</v>
          </cell>
          <cell r="E827">
            <v>31</v>
          </cell>
          <cell r="F827" t="str">
            <v>RESOLUCION</v>
          </cell>
          <cell r="G827">
            <v>871</v>
          </cell>
          <cell r="H827">
            <v>43143</v>
          </cell>
          <cell r="I827" t="str">
            <v>AYUDA TEMPORAL A LAS FAMILIAS DE VARIAS LOCALIDADES, PARA RELOCALIZACIÓN DE HOGARES LOCALIZADOS EN ZONAS DE ALTO RIESGO NO MITIGABLE ID:2012-T314-19, LOCALIDAD:04 SAN CRISTÓBAL, UPZ:50 LA GLORIA</v>
          </cell>
          <cell r="J827">
            <v>2590566</v>
          </cell>
          <cell r="K827">
            <v>0</v>
          </cell>
          <cell r="L827">
            <v>2590566</v>
          </cell>
          <cell r="M827">
            <v>1295283</v>
          </cell>
          <cell r="N827">
            <v>1295283</v>
          </cell>
        </row>
        <row r="828">
          <cell r="A828">
            <v>395</v>
          </cell>
          <cell r="B828">
            <v>1193</v>
          </cell>
          <cell r="C828">
            <v>43143</v>
          </cell>
          <cell r="D828" t="str">
            <v>JOSE LERU DURA ISMARE</v>
          </cell>
          <cell r="E828">
            <v>31</v>
          </cell>
          <cell r="F828" t="str">
            <v>RESOLUCION</v>
          </cell>
          <cell r="G828">
            <v>892</v>
          </cell>
          <cell r="H828">
            <v>43143</v>
          </cell>
          <cell r="I828" t="str">
            <v>AYUDA TEMPORAL A LAS FAMILIAS DE VARIAS LOCALIDADES, PARA RELOCALIZACIÓN DE HOGARES LOCALIZADOS EN ZONAS DE ALTO RIESGO NO MITIGABLE ID:2014-W166-073, LOCALIDAD:19 CIUDAD BOLÍVAR, UPZ:68 EL TESORO, SECTOR:WOUNAAN</v>
          </cell>
          <cell r="J828">
            <v>4878720</v>
          </cell>
          <cell r="K828">
            <v>0</v>
          </cell>
          <cell r="L828">
            <v>4878720</v>
          </cell>
          <cell r="M828">
            <v>1219680</v>
          </cell>
          <cell r="N828">
            <v>3659040</v>
          </cell>
        </row>
        <row r="829">
          <cell r="A829">
            <v>395</v>
          </cell>
          <cell r="B829">
            <v>1194</v>
          </cell>
          <cell r="C829">
            <v>43143</v>
          </cell>
          <cell r="D829" t="str">
            <v>OLINDA GRACILIANA VELASQUEZ DEROMERO</v>
          </cell>
          <cell r="E829">
            <v>31</v>
          </cell>
          <cell r="F829" t="str">
            <v>RESOLUCION</v>
          </cell>
          <cell r="G829">
            <v>872</v>
          </cell>
          <cell r="H829">
            <v>43143</v>
          </cell>
          <cell r="I829" t="str">
            <v>AYUDA TEMPORAL A LAS FAMILIAS DE VARIAS LOCALIDADES, PARA RELOCALIZACIÓN DE HOGARES LOCALIZADOS EN ZONAS DE ALTO RIESGO NO MITIGABLE ID:2009-4-11166, LOCALIDAD:04 SAN CRISTÓBAL, UPZ:50 LA GLORIA</v>
          </cell>
          <cell r="J829">
            <v>2564766</v>
          </cell>
          <cell r="K829">
            <v>0</v>
          </cell>
          <cell r="L829">
            <v>2564766</v>
          </cell>
          <cell r="M829">
            <v>1282383</v>
          </cell>
          <cell r="N829">
            <v>1282383</v>
          </cell>
        </row>
        <row r="830">
          <cell r="A830">
            <v>395</v>
          </cell>
          <cell r="B830">
            <v>1195</v>
          </cell>
          <cell r="C830">
            <v>43143</v>
          </cell>
          <cell r="D830" t="str">
            <v>PERCY  RIVAS PERILLA</v>
          </cell>
          <cell r="E830">
            <v>31</v>
          </cell>
          <cell r="F830" t="str">
            <v>RESOLUCION</v>
          </cell>
          <cell r="G830">
            <v>893</v>
          </cell>
          <cell r="H830">
            <v>43143</v>
          </cell>
          <cell r="I830" t="str">
            <v>AYUDA TEMPORAL A LAS FAMILIAS DE VARIAS LOCALIDADES, PARA RELOCALIZACIÓN DE HOGARES LOCALIZADOS EN ZONAS DE ALTO RIESGO NO MITIGABLE ID:2011-19-12621, LOCALIDAD:19 CIUDAD BOLÍVAR, UPZ:67 LUCERO</v>
          </cell>
          <cell r="J830">
            <v>2582006</v>
          </cell>
          <cell r="K830">
            <v>0</v>
          </cell>
          <cell r="L830">
            <v>2582006</v>
          </cell>
          <cell r="M830">
            <v>1475432</v>
          </cell>
          <cell r="N830">
            <v>1106574</v>
          </cell>
        </row>
        <row r="831">
          <cell r="A831">
            <v>395</v>
          </cell>
          <cell r="B831">
            <v>1196</v>
          </cell>
          <cell r="C831">
            <v>43143</v>
          </cell>
          <cell r="D831" t="str">
            <v>MIRELLA NATIVA MENDEZ ARISTIZABAL</v>
          </cell>
          <cell r="E831">
            <v>31</v>
          </cell>
          <cell r="F831" t="str">
            <v>RESOLUCION</v>
          </cell>
          <cell r="G831">
            <v>873</v>
          </cell>
          <cell r="H831">
            <v>43143</v>
          </cell>
          <cell r="I831" t="str">
            <v>AYUDA TEMPORAL A LAS FAMILIAS DE VARIAS LOCALIDADES, PARA RELOCALIZACIÓN DE HOGARES LOCALIZADOS EN ZONAS DE ALTO RIESGO NO MITIGABLE ID:2015-ALES-536, LOCALIDAD:19 CIUDAD BOLÍVAR, UPZ:69 ISMAEL PERDOMO, SECTOR:ALTOS DE LA ESTANCIA</v>
          </cell>
          <cell r="J831">
            <v>3157315</v>
          </cell>
          <cell r="K831">
            <v>0</v>
          </cell>
          <cell r="L831">
            <v>3157315</v>
          </cell>
          <cell r="M831">
            <v>1804180</v>
          </cell>
          <cell r="N831">
            <v>1353135</v>
          </cell>
        </row>
        <row r="832">
          <cell r="A832">
            <v>395</v>
          </cell>
          <cell r="B832">
            <v>1197</v>
          </cell>
          <cell r="C832">
            <v>43143</v>
          </cell>
          <cell r="D832" t="str">
            <v>RUFINO ZAT ARIZA CONTRERAS</v>
          </cell>
          <cell r="E832">
            <v>31</v>
          </cell>
          <cell r="F832" t="str">
            <v>RESOLUCION</v>
          </cell>
          <cell r="G832">
            <v>784</v>
          </cell>
          <cell r="H832">
            <v>43143</v>
          </cell>
          <cell r="I832" t="str">
            <v>AYUDA TEMPORAL A LAS FAMILIAS DE VARIAS LOCALIDADES, PARA RELOCALIZACIÓN DE HOGARES LOCALIZADOS EN ZONAS DE ALTO RIESGO NO MITIGABLE ID:2013-V01-00754, LOCALIDAD:19 CIUDAD BOLÍVAR, UPZ:67 LUCERO, SECTOR:</v>
          </cell>
          <cell r="J832">
            <v>2846046</v>
          </cell>
          <cell r="K832">
            <v>0</v>
          </cell>
          <cell r="L832">
            <v>2846046</v>
          </cell>
          <cell r="M832">
            <v>1626312</v>
          </cell>
          <cell r="N832">
            <v>1219734</v>
          </cell>
        </row>
        <row r="833">
          <cell r="A833">
            <v>395</v>
          </cell>
          <cell r="B833">
            <v>1198</v>
          </cell>
          <cell r="C833">
            <v>43143</v>
          </cell>
          <cell r="D833" t="str">
            <v>BLANCA STELLA DIAZ SALAMANCA</v>
          </cell>
          <cell r="E833">
            <v>31</v>
          </cell>
          <cell r="F833" t="str">
            <v>RESOLUCION</v>
          </cell>
          <cell r="G833">
            <v>874</v>
          </cell>
          <cell r="H833">
            <v>43143</v>
          </cell>
          <cell r="I833" t="str">
            <v>AYUDA TEMPORAL A LAS FAMILIAS DE VARIAS LOCALIDADES, PARA RELOCALIZACIÓN DE HOGARES LOCALIZADOS EN ZONAS DE ALTO RIESGO NO MITIGABLE ID:2011-20-13434, LOCALIDAD:20 SUMAPAZ, UPZ:5 UPR RIO SUMAPAZ</v>
          </cell>
          <cell r="J833">
            <v>4204986</v>
          </cell>
          <cell r="K833">
            <v>0</v>
          </cell>
          <cell r="L833">
            <v>4204986</v>
          </cell>
          <cell r="M833">
            <v>2102493</v>
          </cell>
          <cell r="N833">
            <v>2102493</v>
          </cell>
        </row>
        <row r="834">
          <cell r="A834">
            <v>395</v>
          </cell>
          <cell r="B834">
            <v>1199</v>
          </cell>
          <cell r="C834">
            <v>43143</v>
          </cell>
          <cell r="D834" t="str">
            <v>MARIA GUILLERMINA LOPEZ DE ZAMBRANO</v>
          </cell>
          <cell r="E834">
            <v>31</v>
          </cell>
          <cell r="F834" t="str">
            <v>RESOLUCION</v>
          </cell>
          <cell r="G834">
            <v>875</v>
          </cell>
          <cell r="H834">
            <v>43143</v>
          </cell>
          <cell r="I834" t="str">
            <v>AYUDA TEMPORAL A LAS FAMILIAS DE VARIAS LOCALIDADES, PARA RELOCALIZACIÓN DE HOGARES LOCALIZADOS EN ZONAS DE ALTO RIESGO NO MITIGABLE ID:2014-C01-00808, LOCALIDAD:19 CIUDAD BOLÍVAR, UPZ:68 EL TESORO</v>
          </cell>
          <cell r="J834">
            <v>1534452</v>
          </cell>
          <cell r="K834">
            <v>383613</v>
          </cell>
          <cell r="L834">
            <v>1150839</v>
          </cell>
          <cell r="M834">
            <v>1150839</v>
          </cell>
          <cell r="N834">
            <v>0</v>
          </cell>
        </row>
        <row r="835">
          <cell r="A835">
            <v>395</v>
          </cell>
          <cell r="B835">
            <v>1200</v>
          </cell>
          <cell r="C835">
            <v>43143</v>
          </cell>
          <cell r="D835" t="str">
            <v>FABIAN  CASTRO CASTAÑEDA</v>
          </cell>
          <cell r="E835">
            <v>31</v>
          </cell>
          <cell r="F835" t="str">
            <v>RESOLUCION</v>
          </cell>
          <cell r="G835">
            <v>894</v>
          </cell>
          <cell r="H835">
            <v>43143</v>
          </cell>
          <cell r="I835" t="str">
            <v>AYUDA TEMPORAL A LAS FAMILIAS DE VARIAS LOCALIDADES, PARA RELOCALIZACIÓN DE HOGARES LOCALIZADOS EN ZONAS DE ALTO RIESGO NO MITIGABLE ID:2015-OTR-01494, LOCALIDAD:11 SUBA, UPZ:71 TIBABUYES, SECTOR:GAVILANES</v>
          </cell>
          <cell r="J835">
            <v>2788569</v>
          </cell>
          <cell r="K835">
            <v>0</v>
          </cell>
          <cell r="L835">
            <v>2788569</v>
          </cell>
          <cell r="M835">
            <v>1593468</v>
          </cell>
          <cell r="N835">
            <v>1195101</v>
          </cell>
        </row>
        <row r="836">
          <cell r="A836">
            <v>395</v>
          </cell>
          <cell r="B836">
            <v>1201</v>
          </cell>
          <cell r="C836">
            <v>43143</v>
          </cell>
          <cell r="D836" t="str">
            <v>LUZ MARY CASTILLO DE REINA</v>
          </cell>
          <cell r="E836">
            <v>31</v>
          </cell>
          <cell r="F836" t="str">
            <v>RESOLUCION</v>
          </cell>
          <cell r="G836">
            <v>876</v>
          </cell>
          <cell r="H836">
            <v>43143</v>
          </cell>
          <cell r="I836" t="str">
            <v>AYUDA TEMPORAL A LAS FAMILIAS DE VARIAS LOCALIDADES, PARA RELOCALIZACIÓN DE HOGARES LOCALIZADOS EN ZONAS DE ALTO RIESGO NO MITIGABLE ID:2011-19-13492, LOCALIDAD:19 CIUDAD BOLÍVAR, UPZ:68 EL TESORO</v>
          </cell>
          <cell r="J836">
            <v>5430984</v>
          </cell>
          <cell r="K836">
            <v>0</v>
          </cell>
          <cell r="L836">
            <v>5430984</v>
          </cell>
          <cell r="M836">
            <v>835536</v>
          </cell>
          <cell r="N836">
            <v>4595448</v>
          </cell>
        </row>
        <row r="837">
          <cell r="A837">
            <v>395</v>
          </cell>
          <cell r="B837">
            <v>1202</v>
          </cell>
          <cell r="C837">
            <v>43143</v>
          </cell>
          <cell r="D837" t="str">
            <v>JHON FREDY PARRA PARRA</v>
          </cell>
          <cell r="E837">
            <v>31</v>
          </cell>
          <cell r="F837" t="str">
            <v>RESOLUCION</v>
          </cell>
          <cell r="G837">
            <v>785</v>
          </cell>
          <cell r="H837">
            <v>43143</v>
          </cell>
          <cell r="I837" t="str">
            <v>AYUDA TEMPORAL A LAS FAMILIAS DE VARIAS LOCALIDADES, PARA RELOCALIZACIÓN DE HOGARES LOCALIZADOS EN ZONAS DE ALTO RIESGO NO MITIGABLE ID:2013-Q10-00612, LOCALIDAD:04 SAN CRISTÓBAL, UPZ:51 LOS LIBERTADORES, SECTOR:QUEBRADA VEREJONES</v>
          </cell>
          <cell r="J837">
            <v>5285280</v>
          </cell>
          <cell r="K837">
            <v>0</v>
          </cell>
          <cell r="L837">
            <v>5285280</v>
          </cell>
          <cell r="M837">
            <v>1626240</v>
          </cell>
          <cell r="N837">
            <v>3659040</v>
          </cell>
        </row>
        <row r="838">
          <cell r="A838">
            <v>395</v>
          </cell>
          <cell r="B838">
            <v>1203</v>
          </cell>
          <cell r="C838">
            <v>43143</v>
          </cell>
          <cell r="D838" t="str">
            <v>ROSA ELENA GUTIERREZ</v>
          </cell>
          <cell r="E838">
            <v>31</v>
          </cell>
          <cell r="F838" t="str">
            <v>RESOLUCION</v>
          </cell>
          <cell r="G838">
            <v>877</v>
          </cell>
          <cell r="H838">
            <v>43143</v>
          </cell>
          <cell r="I838" t="str">
            <v>AYUDA TEMPORAL A LAS FAMILIAS DE VARIAS LOCALIDADES, PARA RELOCALIZACIÓN DE HOGARES LOCALIZADOS EN ZONAS DE ALTO RIESGO NO MITIGABLE ID:2011-4-12651, LOCALIDAD:04 SAN CRISTÓBAL, UPZ:32 SAN BLAS</v>
          </cell>
          <cell r="J838">
            <v>2661239</v>
          </cell>
          <cell r="K838">
            <v>0</v>
          </cell>
          <cell r="L838">
            <v>2661239</v>
          </cell>
          <cell r="M838">
            <v>1520708</v>
          </cell>
          <cell r="N838">
            <v>1140531</v>
          </cell>
        </row>
        <row r="839">
          <cell r="A839">
            <v>395</v>
          </cell>
          <cell r="B839">
            <v>1204</v>
          </cell>
          <cell r="C839">
            <v>43143</v>
          </cell>
          <cell r="D839" t="str">
            <v>AMPARO  CHAPARRO</v>
          </cell>
          <cell r="E839">
            <v>31</v>
          </cell>
          <cell r="F839" t="str">
            <v>RESOLUCION</v>
          </cell>
          <cell r="G839">
            <v>878</v>
          </cell>
          <cell r="H839">
            <v>43143</v>
          </cell>
          <cell r="I839" t="str">
            <v>AYUDA TEMPORAL A LAS FAMILIAS DE VARIAS LOCALIDADES, PARA RELOCALIZACIÓN DE HOGARES LOCALIZADOS EN ZONAS DE ALTO RIESGO NO MITIGABLE ID:2013-Q04-00287, LOCALIDAD:19 CIUDAD BOLÍVAR, UPZ:67 LUCERO, SECTOR:PEÑA COLORADA</v>
          </cell>
          <cell r="J839">
            <v>2582006</v>
          </cell>
          <cell r="K839">
            <v>0</v>
          </cell>
          <cell r="L839">
            <v>2582006</v>
          </cell>
          <cell r="M839">
            <v>1475432</v>
          </cell>
          <cell r="N839">
            <v>1106574</v>
          </cell>
        </row>
        <row r="840">
          <cell r="A840">
            <v>395</v>
          </cell>
          <cell r="B840">
            <v>1205</v>
          </cell>
          <cell r="C840">
            <v>43143</v>
          </cell>
          <cell r="D840" t="str">
            <v>MARIA WALDINA MANCILLA LADINO</v>
          </cell>
          <cell r="E840">
            <v>31</v>
          </cell>
          <cell r="F840" t="str">
            <v>RESOLUCION</v>
          </cell>
          <cell r="G840">
            <v>786</v>
          </cell>
          <cell r="H840">
            <v>43143</v>
          </cell>
          <cell r="I840" t="str">
            <v>AYUDA TEMPORAL A LAS FAMILIAS DE VARIAS LOCALIDADES, PARA RELOCALIZACIÓN DE HOGARES LOCALIZADOS EN ZONAS DE ALTO RIESGO NO MITIGABLE ID:2013000532, LOCALIDAD:19 CIUDAD BOLÍVAR, UPZ:67 LUCERO, SECTOR:PEÑA COLORADA</v>
          </cell>
          <cell r="J840">
            <v>5178771</v>
          </cell>
          <cell r="K840">
            <v>0</v>
          </cell>
          <cell r="L840">
            <v>5178771</v>
          </cell>
          <cell r="M840">
            <v>1195101</v>
          </cell>
          <cell r="N840">
            <v>3983670</v>
          </cell>
        </row>
        <row r="841">
          <cell r="A841">
            <v>395</v>
          </cell>
          <cell r="B841">
            <v>1206</v>
          </cell>
          <cell r="C841">
            <v>43143</v>
          </cell>
          <cell r="D841" t="str">
            <v>ANA MILENA SUREZ MUNZA</v>
          </cell>
          <cell r="E841">
            <v>31</v>
          </cell>
          <cell r="F841" t="str">
            <v>RESOLUCION</v>
          </cell>
          <cell r="G841">
            <v>879</v>
          </cell>
          <cell r="H841">
            <v>43143</v>
          </cell>
          <cell r="I841" t="str">
            <v>AYUDA TEMPORAL A LAS FAMILIAS DE VARIAS LOCALIDADES, PARA RELOCALIZACIÓN DE HOGARES LOCALIZADOS EN ZONAS DE ALTO RIESGO NO MITIGABLE ID:2016-08-14897, LOCALIDAD:08 KENNEDY, UPZ:82 PATIO BONITO, SECTOR:PALMITAS</v>
          </cell>
          <cell r="J841">
            <v>7082088</v>
          </cell>
          <cell r="K841">
            <v>0</v>
          </cell>
          <cell r="L841">
            <v>7082088</v>
          </cell>
          <cell r="M841">
            <v>2360696</v>
          </cell>
          <cell r="N841">
            <v>4721392</v>
          </cell>
        </row>
        <row r="842">
          <cell r="A842">
            <v>395</v>
          </cell>
          <cell r="B842">
            <v>1207</v>
          </cell>
          <cell r="C842">
            <v>43143</v>
          </cell>
          <cell r="D842" t="str">
            <v>HECTOR MAURICIO VELEZ SANCHEZ</v>
          </cell>
          <cell r="E842">
            <v>31</v>
          </cell>
          <cell r="F842" t="str">
            <v>RESOLUCION</v>
          </cell>
          <cell r="G842">
            <v>880</v>
          </cell>
          <cell r="H842">
            <v>43143</v>
          </cell>
          <cell r="I842" t="str">
            <v>AYUDA TEMPORAL A LAS FAMILIAS DE VARIAS LOCALIDADES, PARA RELOCALIZACIÓN DE HOGARES LOCALIZADOS EN ZONAS DE ALTO RIESGO NO MITIGABLE ID:2011-5-13283, LOCALIDAD:05 USME, UPZ:56 DANUBIO</v>
          </cell>
          <cell r="J842">
            <v>2924376</v>
          </cell>
          <cell r="K842">
            <v>0</v>
          </cell>
          <cell r="L842">
            <v>2924376</v>
          </cell>
          <cell r="M842">
            <v>1671072</v>
          </cell>
          <cell r="N842">
            <v>1253304</v>
          </cell>
        </row>
        <row r="843">
          <cell r="A843">
            <v>395</v>
          </cell>
          <cell r="B843">
            <v>1208</v>
          </cell>
          <cell r="C843">
            <v>43143</v>
          </cell>
          <cell r="D843" t="str">
            <v>ANA CLAUDINA ESCOBAR ROJAS</v>
          </cell>
          <cell r="E843">
            <v>31</v>
          </cell>
          <cell r="F843" t="str">
            <v>RESOLUCION</v>
          </cell>
          <cell r="G843">
            <v>787</v>
          </cell>
          <cell r="H843">
            <v>43143</v>
          </cell>
          <cell r="I843" t="str">
            <v>AYUDA TEMPORAL A LAS FAMILIAS DE VARIAS LOCALIDADES, PARA RELOCALIZACIÓN DE HOGARES LOCALIZADOS EN ZONAS DE ALTO RIESGO NO MITIGABLE ID:2013000468, LOCALIDAD:04 SAN CRISTÓBAL, UPZ:51 LOS LIBERTADORES, SECTOR:QUEBRADA VEREJONES</v>
          </cell>
          <cell r="J843">
            <v>2382790</v>
          </cell>
          <cell r="K843">
            <v>0</v>
          </cell>
          <cell r="L843">
            <v>2382790</v>
          </cell>
          <cell r="M843">
            <v>953116</v>
          </cell>
          <cell r="N843">
            <v>1429674</v>
          </cell>
        </row>
        <row r="844">
          <cell r="A844">
            <v>395</v>
          </cell>
          <cell r="B844">
            <v>1209</v>
          </cell>
          <cell r="C844">
            <v>43143</v>
          </cell>
          <cell r="D844" t="str">
            <v>ELIZABETH  CAGUA YATE</v>
          </cell>
          <cell r="E844">
            <v>31</v>
          </cell>
          <cell r="F844" t="str">
            <v>RESOLUCION</v>
          </cell>
          <cell r="G844">
            <v>881</v>
          </cell>
          <cell r="H844">
            <v>43143</v>
          </cell>
          <cell r="I844" t="str">
            <v>AYUDA TEMPORAL A LAS FAMILIAS DE VARIAS LOCALIDADES, PARA RELOCALIZACIÓN DE HOGARES LOCALIZADOS EN ZONAS DE ALTO RIESGO NO MITIGABLE ID:2016-08-14796, LOCALIDAD:08 KENNEDY, UPZ:82 PATIO BONITO, SECTOR:PALMITAS</v>
          </cell>
          <cell r="J844">
            <v>5436970</v>
          </cell>
          <cell r="K844">
            <v>0</v>
          </cell>
          <cell r="L844">
            <v>5436970</v>
          </cell>
          <cell r="M844">
            <v>1977080</v>
          </cell>
          <cell r="N844">
            <v>3459890</v>
          </cell>
        </row>
        <row r="845">
          <cell r="A845">
            <v>395</v>
          </cell>
          <cell r="B845">
            <v>1210</v>
          </cell>
          <cell r="C845">
            <v>43143</v>
          </cell>
          <cell r="D845" t="str">
            <v>ADELA DEL CARMEN ROSAS DE VARGAS</v>
          </cell>
          <cell r="E845">
            <v>31</v>
          </cell>
          <cell r="F845" t="str">
            <v>RESOLUCION</v>
          </cell>
          <cell r="G845">
            <v>788</v>
          </cell>
          <cell r="H845">
            <v>43143</v>
          </cell>
          <cell r="I845" t="str">
            <v>AYUDA TEMPORAL A LAS FAMILIAS DE VARIAS LOCALIDADES, PARA RELOCALIZACIÓN DE HOGARES LOCALIZADOS EN ZONAS DE ALTO RIESGO NO MITIGABLE ID:2015-Q20-01408, LOCALIDAD:04 SAN CRISTÓBAL, UPZ:50 LA GLORIA, SECTOR:LA CHIGUAZA</v>
          </cell>
          <cell r="J845">
            <v>4795154</v>
          </cell>
          <cell r="K845">
            <v>0</v>
          </cell>
          <cell r="L845">
            <v>4795154</v>
          </cell>
          <cell r="M845">
            <v>1475432</v>
          </cell>
          <cell r="N845">
            <v>3319722</v>
          </cell>
        </row>
        <row r="846">
          <cell r="A846">
            <v>395</v>
          </cell>
          <cell r="B846">
            <v>1211</v>
          </cell>
          <cell r="C846">
            <v>43143</v>
          </cell>
          <cell r="D846" t="str">
            <v>LUIS JORGE ROJAS HERNANDEZ</v>
          </cell>
          <cell r="E846">
            <v>31</v>
          </cell>
          <cell r="F846" t="str">
            <v>RESOLUCION</v>
          </cell>
          <cell r="G846">
            <v>882</v>
          </cell>
          <cell r="H846">
            <v>43143</v>
          </cell>
          <cell r="I846" t="str">
            <v>AYUDA TEMPORAL A LAS FAMILIAS DE VARIAS LOCALIDADES, PARA RELOCALIZACIÓN DE HOGARES LOCALIZADOS EN ZONAS DE ALTO RIESGO NO MITIGABLE ID:2014-OTR-00961, LOCALIDAD:19 CIUDAD BOLÍVAR, UPZ:67 LUCERO, SECTOR:TABOR ALTALOMA</v>
          </cell>
          <cell r="J846">
            <v>3017000</v>
          </cell>
          <cell r="K846">
            <v>0</v>
          </cell>
          <cell r="L846">
            <v>3017000</v>
          </cell>
          <cell r="M846">
            <v>1293000</v>
          </cell>
          <cell r="N846">
            <v>1724000</v>
          </cell>
        </row>
        <row r="847">
          <cell r="A847">
            <v>395</v>
          </cell>
          <cell r="B847">
            <v>1212</v>
          </cell>
          <cell r="C847">
            <v>43143</v>
          </cell>
          <cell r="D847" t="str">
            <v>DILFIO  MERCAZA ISMARE</v>
          </cell>
          <cell r="E847">
            <v>31</v>
          </cell>
          <cell r="F847" t="str">
            <v>RESOLUCION</v>
          </cell>
          <cell r="G847">
            <v>895</v>
          </cell>
          <cell r="H847">
            <v>43143</v>
          </cell>
          <cell r="I847" t="str">
            <v>AYUDA TEMPORAL A LAS FAMILIAS DE VARIAS LOCALIDADES, PARA RELOCALIZACIÓN DE HOGARES LOCALIZADOS EN ZONAS DE ALTO RIESGO NO MITIGABLE ID:2014-W166-024, LOCALIDAD:19 CIUDAD BOLÍVAR, UPZ:68 EL TESORO, SECTOR:WOUNAAN</v>
          </cell>
          <cell r="J847">
            <v>1626240</v>
          </cell>
          <cell r="K847">
            <v>406560</v>
          </cell>
          <cell r="L847">
            <v>1219680</v>
          </cell>
          <cell r="M847">
            <v>1219680</v>
          </cell>
          <cell r="N847">
            <v>0</v>
          </cell>
        </row>
        <row r="848">
          <cell r="A848">
            <v>395</v>
          </cell>
          <cell r="B848">
            <v>1213</v>
          </cell>
          <cell r="C848">
            <v>43143</v>
          </cell>
          <cell r="D848" t="str">
            <v>ALONSO  CONQUISTA CARPIO</v>
          </cell>
          <cell r="E848">
            <v>31</v>
          </cell>
          <cell r="F848" t="str">
            <v>RESOLUCION</v>
          </cell>
          <cell r="G848">
            <v>896</v>
          </cell>
          <cell r="H848">
            <v>43143</v>
          </cell>
          <cell r="I848" t="str">
            <v>AYUDA TEMPORAL A LAS FAMILIAS DE VARIAS LOCALIDADES, PARA RELOCALIZACIÓN DE HOGARES LOCALIZADOS EN ZONAS DE ALTO RIESGO NO MITIGABLE ID:2014-W166-049, LOCALIDAD:19 CIUDAD BOLÍVAR, UPZ:68 EL TESORO, SECTOR:WOUNAAN</v>
          </cell>
          <cell r="J848">
            <v>2213152</v>
          </cell>
          <cell r="K848">
            <v>553288</v>
          </cell>
          <cell r="L848">
            <v>1659864</v>
          </cell>
          <cell r="M848">
            <v>1659864</v>
          </cell>
          <cell r="N848">
            <v>0</v>
          </cell>
        </row>
        <row r="849">
          <cell r="A849">
            <v>395</v>
          </cell>
          <cell r="B849">
            <v>1214</v>
          </cell>
          <cell r="C849">
            <v>43143</v>
          </cell>
          <cell r="D849" t="str">
            <v>MYRIAM  MUNERA DE LONDONO</v>
          </cell>
          <cell r="E849">
            <v>31</v>
          </cell>
          <cell r="F849" t="str">
            <v>RESOLUCION</v>
          </cell>
          <cell r="G849">
            <v>789</v>
          </cell>
          <cell r="H849">
            <v>43143</v>
          </cell>
          <cell r="I849" t="str">
            <v>AYUDA TEMPORAL A LAS FAMILIAS DE VARIAS LOCALIDADES, PARA RELOCALIZACIÓN DE HOGARES LOCALIZADOS EN ZONAS DE ALTO RIESGO NO MITIGABLE ID:2013000126, LOCALIDAD:04 SAN CRISTÓBAL, UPZ:51 LOS LIBERTADORES, SECTOR:QUEBRADA VEREJONES</v>
          </cell>
          <cell r="J849">
            <v>4795154</v>
          </cell>
          <cell r="K849">
            <v>0</v>
          </cell>
          <cell r="L849">
            <v>4795154</v>
          </cell>
          <cell r="M849">
            <v>1475432</v>
          </cell>
          <cell r="N849">
            <v>3319722</v>
          </cell>
        </row>
        <row r="850">
          <cell r="A850">
            <v>395</v>
          </cell>
          <cell r="B850">
            <v>1215</v>
          </cell>
          <cell r="C850">
            <v>43143</v>
          </cell>
          <cell r="D850" t="str">
            <v>HENRY  ALVAREZ</v>
          </cell>
          <cell r="E850">
            <v>31</v>
          </cell>
          <cell r="F850" t="str">
            <v>RESOLUCION</v>
          </cell>
          <cell r="G850">
            <v>897</v>
          </cell>
          <cell r="H850">
            <v>43143</v>
          </cell>
          <cell r="I850" t="str">
            <v>AYUDA TEMPORAL A LAS FAMILIAS DE VARIAS LOCALIDADES, PARA RELOCALIZACIÓN DE HOGARES LOCALIZADOS EN ZONAS DE ALTO RIESGO NO MITIGABLE ID:2015-D227-00060, LOCALIDAD:04 SAN CRISTÓBAL, UPZ:51 LOS LIBERTADORES, SECTOR:SANTA TERESITA</v>
          </cell>
          <cell r="J850">
            <v>1844290</v>
          </cell>
          <cell r="K850">
            <v>0</v>
          </cell>
          <cell r="L850">
            <v>1844290</v>
          </cell>
          <cell r="M850">
            <v>1475432</v>
          </cell>
          <cell r="N850">
            <v>368858</v>
          </cell>
        </row>
        <row r="851">
          <cell r="A851">
            <v>395</v>
          </cell>
          <cell r="B851">
            <v>1216</v>
          </cell>
          <cell r="C851">
            <v>43143</v>
          </cell>
          <cell r="D851" t="str">
            <v>JUAN ANTONIO BORJAS</v>
          </cell>
          <cell r="E851">
            <v>31</v>
          </cell>
          <cell r="F851" t="str">
            <v>RESOLUCION</v>
          </cell>
          <cell r="G851">
            <v>790</v>
          </cell>
          <cell r="H851">
            <v>43143</v>
          </cell>
          <cell r="I851" t="str">
            <v>AYUDA TEMPORAL A LAS FAMILIAS DE VARIAS LOCALIDADES, PARA RELOCALIZACIÓN DE HOGARES LOCALIZADOS EN ZONAS DE ALTO RIESGO NO MITIGABLE ID:2007-19-9742, LOCALIDAD:19 CIUDAD BOLÍVAR, UPZ:69 ISMAEL PERDOMO, SECTOR:</v>
          </cell>
          <cell r="J851">
            <v>5178771</v>
          </cell>
          <cell r="K851">
            <v>0</v>
          </cell>
          <cell r="L851">
            <v>5178771</v>
          </cell>
          <cell r="M851">
            <v>1593468</v>
          </cell>
          <cell r="N851">
            <v>3585303</v>
          </cell>
        </row>
        <row r="852">
          <cell r="A852">
            <v>395</v>
          </cell>
          <cell r="B852">
            <v>1217</v>
          </cell>
          <cell r="C852">
            <v>43143</v>
          </cell>
          <cell r="D852" t="str">
            <v>LUIS HERNAN SIERRA CASAS</v>
          </cell>
          <cell r="E852">
            <v>31</v>
          </cell>
          <cell r="F852" t="str">
            <v>RESOLUCION</v>
          </cell>
          <cell r="G852">
            <v>898</v>
          </cell>
          <cell r="H852">
            <v>43143</v>
          </cell>
          <cell r="I852" t="str">
            <v>AYUDA TEMPORAL A LAS FAMILIAS DE VARIAS LOCALIDADES, PARA RELOCALIZACIÓN DE HOGARES LOCALIZADOS EN ZONAS DE ALTO RIESGO NO MITIGABLE ID:2015-D227-00030, LOCALIDAD:04 SAN CRISTÓBAL, UPZ:51 LOS LIBERTADORES, SECTOR:SANTA TERESITA</v>
          </cell>
          <cell r="J852">
            <v>1701340</v>
          </cell>
          <cell r="K852">
            <v>425335</v>
          </cell>
          <cell r="L852">
            <v>1276005</v>
          </cell>
          <cell r="M852">
            <v>1276005</v>
          </cell>
          <cell r="N852">
            <v>0</v>
          </cell>
        </row>
        <row r="853">
          <cell r="A853">
            <v>395</v>
          </cell>
          <cell r="B853">
            <v>1218</v>
          </cell>
          <cell r="C853">
            <v>43143</v>
          </cell>
          <cell r="D853" t="str">
            <v>GUILLERMO ANTONIO PARRA BAUTISTA</v>
          </cell>
          <cell r="E853">
            <v>31</v>
          </cell>
          <cell r="F853" t="str">
            <v>RESOLUCION</v>
          </cell>
          <cell r="G853">
            <v>791</v>
          </cell>
          <cell r="H853">
            <v>43143</v>
          </cell>
          <cell r="I853" t="str">
            <v>AYUDA TEMPORAL A LAS FAMILIAS DE VARIAS LOCALIDADES, PARA RELOCALIZACIÓN DE HOGARES LOCALIZADOS EN ZONAS DE ALTO RIESGO NO MITIGABLE ID:2016-08-14863, LOCALIDAD:08 KENNEDY, UPZ:82 PATIO BONITO, SECTOR:PALMITAS</v>
          </cell>
          <cell r="J853">
            <v>4687452</v>
          </cell>
          <cell r="K853">
            <v>0</v>
          </cell>
          <cell r="L853">
            <v>4687452</v>
          </cell>
          <cell r="M853">
            <v>1171863</v>
          </cell>
          <cell r="N853">
            <v>3515589</v>
          </cell>
        </row>
        <row r="854">
          <cell r="A854">
            <v>395</v>
          </cell>
          <cell r="B854">
            <v>1219</v>
          </cell>
          <cell r="C854">
            <v>43143</v>
          </cell>
          <cell r="D854" t="str">
            <v>HERMENCIA  RODRIGUEZ BARRANTES</v>
          </cell>
          <cell r="E854">
            <v>31</v>
          </cell>
          <cell r="F854" t="str">
            <v>RESOLUCION</v>
          </cell>
          <cell r="G854">
            <v>792</v>
          </cell>
          <cell r="H854">
            <v>43143</v>
          </cell>
          <cell r="I854" t="str">
            <v>AYUDA TEMPORAL A LAS FAMILIAS DE VARIAS LOCALIDADES, PARA RELOCALIZACIÓN DE HOGARES LOCALIZADOS EN ZONAS DE ALTO RIESGO NO MITIGABLE ID:2013000019, LOCALIDAD:19 CIUDAD BOLÍVAR, UPZ:67 LUCERO, SECTOR:QUEBRADA CAÑO BAÚL</v>
          </cell>
          <cell r="J854">
            <v>5172000</v>
          </cell>
          <cell r="K854">
            <v>0</v>
          </cell>
          <cell r="L854">
            <v>5172000</v>
          </cell>
          <cell r="M854">
            <v>862000</v>
          </cell>
          <cell r="N854">
            <v>4310000</v>
          </cell>
        </row>
        <row r="855">
          <cell r="A855">
            <v>395</v>
          </cell>
          <cell r="B855">
            <v>1220</v>
          </cell>
          <cell r="C855">
            <v>43143</v>
          </cell>
          <cell r="D855" t="str">
            <v>CIRO  MENDOZA ORTIZ</v>
          </cell>
          <cell r="E855">
            <v>31</v>
          </cell>
          <cell r="F855" t="str">
            <v>RESOLUCION</v>
          </cell>
          <cell r="G855">
            <v>899</v>
          </cell>
          <cell r="H855">
            <v>43143</v>
          </cell>
          <cell r="I855" t="str">
            <v>AYUDA TEMPORAL A LAS FAMILIAS DE VARIAS LOCALIDADES, PARA RELOCALIZACIÓN DE HOGARES LOCALIZADOS EN ZONAS DE ALTO RIESGO NO MITIGABLE ID:2015-W166-504, LOCALIDAD:03 SANTA FE, UPZ:96 LOURDES, SECTOR:UITOTO</v>
          </cell>
          <cell r="J855">
            <v>2319056</v>
          </cell>
          <cell r="K855">
            <v>579764</v>
          </cell>
          <cell r="L855">
            <v>1739292</v>
          </cell>
          <cell r="M855">
            <v>1739292</v>
          </cell>
          <cell r="N855">
            <v>0</v>
          </cell>
        </row>
        <row r="856">
          <cell r="A856">
            <v>395</v>
          </cell>
          <cell r="B856">
            <v>1221</v>
          </cell>
          <cell r="C856">
            <v>43143</v>
          </cell>
          <cell r="D856" t="str">
            <v>ALBEIRO  ORTIZ CHICHILIANO</v>
          </cell>
          <cell r="E856">
            <v>31</v>
          </cell>
          <cell r="F856" t="str">
            <v>RESOLUCION</v>
          </cell>
          <cell r="G856">
            <v>900</v>
          </cell>
          <cell r="H856">
            <v>43143</v>
          </cell>
          <cell r="I856" t="str">
            <v>AYUDA TEMPORAL A LAS FAMILIAS DE VARIAS LOCALIDADES, PARA RELOCALIZACIÓN DE HOGARES LOCALIZADOS EN ZONAS DE ALTO RIESGO NO MITIGABLE ID:2015-W166-418, LOCALIDAD:19 CIUDAD BOLÍVAR, UPZ:67 LUCERO, SECTOR:WOUNAAN</v>
          </cell>
          <cell r="J856">
            <v>2964130</v>
          </cell>
          <cell r="K856">
            <v>0</v>
          </cell>
          <cell r="L856">
            <v>2964130</v>
          </cell>
          <cell r="M856">
            <v>2371304</v>
          </cell>
          <cell r="N856">
            <v>592826</v>
          </cell>
        </row>
        <row r="857">
          <cell r="A857">
            <v>395</v>
          </cell>
          <cell r="B857">
            <v>1222</v>
          </cell>
          <cell r="C857">
            <v>43143</v>
          </cell>
          <cell r="D857" t="str">
            <v>EVANGELISTA  MORALES MORALES</v>
          </cell>
          <cell r="E857">
            <v>31</v>
          </cell>
          <cell r="F857" t="str">
            <v>RESOLUCION</v>
          </cell>
          <cell r="G857">
            <v>901</v>
          </cell>
          <cell r="H857">
            <v>43143</v>
          </cell>
          <cell r="I857" t="str">
            <v>AYUDA TEMPORAL A LAS FAMILIAS DE VARIAS LOCALIDADES, PARA RELOCALIZACIÓN DE HOGARES LOCALIZADOS EN ZONAS DE ALTO RIESGO NO MITIGABLE ID:2013-Q10-00506, LOCALIDAD:04 SAN CRISTÓBAL, UPZ:51 LOS LIBERTADORES, SECTOR:QUEBRADA VEREJONES</v>
          </cell>
          <cell r="J857">
            <v>1829540</v>
          </cell>
          <cell r="K857">
            <v>457385</v>
          </cell>
          <cell r="L857">
            <v>1372155</v>
          </cell>
          <cell r="M857">
            <v>1372155</v>
          </cell>
          <cell r="N857">
            <v>0</v>
          </cell>
        </row>
        <row r="858">
          <cell r="A858">
            <v>395</v>
          </cell>
          <cell r="B858">
            <v>1223</v>
          </cell>
          <cell r="C858">
            <v>43143</v>
          </cell>
          <cell r="D858" t="str">
            <v>MARIA CELINA ÑEÑETOFE MATIAS</v>
          </cell>
          <cell r="E858">
            <v>31</v>
          </cell>
          <cell r="F858" t="str">
            <v>RESOLUCION</v>
          </cell>
          <cell r="G858">
            <v>902</v>
          </cell>
          <cell r="H858">
            <v>43143</v>
          </cell>
          <cell r="I858" t="str">
            <v>AYUDA TEMPORAL A LAS FAMILIAS DE VARIAS LOCALIDADES, PARA RELOCALIZACIÓN DE HOGARES LOCALIZADOS EN ZONAS DE ALTO RIESGO NO MITIGABLE ID:2015-W166-524, LOCALIDAD:04 SAN CRISTÓBAL, UPZ:32 SAN BLAS, SECTOR:UITOTO</v>
          </cell>
          <cell r="J858">
            <v>2319720</v>
          </cell>
          <cell r="K858">
            <v>579930</v>
          </cell>
          <cell r="L858">
            <v>1739790</v>
          </cell>
          <cell r="M858">
            <v>1739790</v>
          </cell>
          <cell r="N858">
            <v>0</v>
          </cell>
        </row>
        <row r="859">
          <cell r="A859">
            <v>395</v>
          </cell>
          <cell r="B859">
            <v>1224</v>
          </cell>
          <cell r="C859">
            <v>43143</v>
          </cell>
          <cell r="D859" t="str">
            <v>GRACIELA  GANZASOY</v>
          </cell>
          <cell r="E859">
            <v>31</v>
          </cell>
          <cell r="F859" t="str">
            <v>RESOLUCION</v>
          </cell>
          <cell r="G859">
            <v>793</v>
          </cell>
          <cell r="H859">
            <v>43143</v>
          </cell>
          <cell r="I859" t="str">
            <v>AYUDA TEMPORAL A LAS FAMILIAS DE VARIAS LOCALIDADES, PARA RELOCALIZACIÓN DE HOGARES LOCALIZADOS EN ZONAS DE ALTO RIESGO NO MITIGABLE ID:2006-4-8757, LOCALIDAD:04 SAN CRISTÓBAL, UPZ:50 LA GLORIA.</v>
          </cell>
          <cell r="J859">
            <v>5796466</v>
          </cell>
          <cell r="K859">
            <v>0</v>
          </cell>
          <cell r="L859">
            <v>5796466</v>
          </cell>
          <cell r="M859">
            <v>1783528</v>
          </cell>
          <cell r="N859">
            <v>4012938</v>
          </cell>
        </row>
        <row r="860">
          <cell r="A860">
            <v>395</v>
          </cell>
          <cell r="B860">
            <v>1225</v>
          </cell>
          <cell r="C860">
            <v>43143</v>
          </cell>
          <cell r="D860" t="str">
            <v>AMILKAR  PIRAZA MEPAQUITO</v>
          </cell>
          <cell r="E860">
            <v>31</v>
          </cell>
          <cell r="F860" t="str">
            <v>RESOLUCION</v>
          </cell>
          <cell r="G860">
            <v>903</v>
          </cell>
          <cell r="H860">
            <v>43143</v>
          </cell>
          <cell r="I860" t="str">
            <v>AYUDA TEMPORAL A LAS FAMILIAS DE VARIAS LOCALIDADES, PARA RELOCALIZACIÓN DE HOGARES LOCALIZADOS EN ZONAS DE ALTO RIESGO NO MITIGABLE ID:2014-W166-050, LOCALIDAD:19 CIUDAD BOLÍVAR, UPZ:68 EL TESORO, SECTOR:WOUNAAN</v>
          </cell>
          <cell r="J860">
            <v>2360696</v>
          </cell>
          <cell r="K860">
            <v>590174</v>
          </cell>
          <cell r="L860">
            <v>1770522</v>
          </cell>
          <cell r="M860">
            <v>1770522</v>
          </cell>
          <cell r="N860">
            <v>0</v>
          </cell>
        </row>
        <row r="861">
          <cell r="A861">
            <v>395</v>
          </cell>
          <cell r="B861">
            <v>1226</v>
          </cell>
          <cell r="C861">
            <v>43143</v>
          </cell>
          <cell r="D861" t="str">
            <v>MARIA HILDA PRIETO SALAMANCA</v>
          </cell>
          <cell r="E861">
            <v>31</v>
          </cell>
          <cell r="F861" t="str">
            <v>RESOLUCION</v>
          </cell>
          <cell r="G861">
            <v>794</v>
          </cell>
          <cell r="H861">
            <v>43143</v>
          </cell>
          <cell r="I861" t="str">
            <v>AYUDA TEMPORAL A LAS FAMILIAS DE VARIAS LOCALIDADES, PARA RELOCALIZACIÓN DE HOGARES LOCALIZADOS EN ZONAS DE ALTO RIESGO NO MITIGABLE ID:2011-4-13355, LOCALIDAD:04 SAN CRISTÓBAL, UPZ:32 SAN BLAS.</v>
          </cell>
          <cell r="J861">
            <v>3363507</v>
          </cell>
          <cell r="K861">
            <v>0</v>
          </cell>
          <cell r="L861">
            <v>3363507</v>
          </cell>
          <cell r="M861">
            <v>1441503</v>
          </cell>
          <cell r="N861">
            <v>1922004</v>
          </cell>
        </row>
        <row r="862">
          <cell r="A862">
            <v>395</v>
          </cell>
          <cell r="B862">
            <v>1227</v>
          </cell>
          <cell r="C862">
            <v>43143</v>
          </cell>
          <cell r="D862" t="str">
            <v>JAIME ANTONIO CAMARGO</v>
          </cell>
          <cell r="E862">
            <v>31</v>
          </cell>
          <cell r="F862" t="str">
            <v>RESOLUCION</v>
          </cell>
          <cell r="G862">
            <v>904</v>
          </cell>
          <cell r="H862">
            <v>43143</v>
          </cell>
          <cell r="I862" t="str">
            <v>AYUDA TEMPORAL A LAS FAMILIAS DE VARIAS LOCALIDADES, PARA RELOCALIZACIÓN DE HOGARES LOCALIZADOS EN ZONAS DE ALTO RIESGO NO MITIGABLE ID:2013-Q10-00471, LOCALIDAD:04 SAN CRISTÓBAL, UPZ:51 LOS LIBERTADORES, SECTOR:QUEBRADA VEREJONES</v>
          </cell>
          <cell r="J862">
            <v>5603000</v>
          </cell>
          <cell r="K862">
            <v>0</v>
          </cell>
          <cell r="L862">
            <v>5603000</v>
          </cell>
          <cell r="M862">
            <v>862000</v>
          </cell>
          <cell r="N862">
            <v>4741000</v>
          </cell>
        </row>
        <row r="863">
          <cell r="A863">
            <v>395</v>
          </cell>
          <cell r="B863">
            <v>1228</v>
          </cell>
          <cell r="C863">
            <v>43143</v>
          </cell>
          <cell r="D863" t="str">
            <v>OLGA LUCIA ANDRADE SANCHEZ</v>
          </cell>
          <cell r="E863">
            <v>31</v>
          </cell>
          <cell r="F863" t="str">
            <v>RESOLUCION</v>
          </cell>
          <cell r="G863">
            <v>905</v>
          </cell>
          <cell r="H863">
            <v>43143</v>
          </cell>
          <cell r="I863" t="str">
            <v>AYUDA TEMPORAL A LAS FAMILIAS DE VARIAS LOCALIDADES, PARA RELOCALIZACIÓN DE HOGARES LOCALIZADOS EN ZONAS DE ALTO RIESGO NO MITIGABLE ID:2013000459, LOCALIDAD:04 SAN CRISTÓBAL, UPZ:51 LOS LIBERTADORES, SECTOR:QUEBRADA VEREJONES</v>
          </cell>
          <cell r="J863">
            <v>2734345</v>
          </cell>
          <cell r="K863">
            <v>0</v>
          </cell>
          <cell r="L863">
            <v>2734345</v>
          </cell>
          <cell r="M863">
            <v>1093738</v>
          </cell>
          <cell r="N863">
            <v>1640607</v>
          </cell>
        </row>
        <row r="864">
          <cell r="A864">
            <v>395</v>
          </cell>
          <cell r="B864">
            <v>1229</v>
          </cell>
          <cell r="C864">
            <v>43143</v>
          </cell>
          <cell r="D864" t="str">
            <v>MARIA ELENA QUINTERO</v>
          </cell>
          <cell r="E864">
            <v>31</v>
          </cell>
          <cell r="F864" t="str">
            <v>RESOLUCION</v>
          </cell>
          <cell r="G864">
            <v>906</v>
          </cell>
          <cell r="H864">
            <v>43143</v>
          </cell>
          <cell r="I864" t="str">
            <v>AYUDA TEMPORAL A LAS FAMILIAS DE VARIAS LOCALIDADES, PARA RELOCALIZACIÓN DE HOGARES LOCALIZADOS EN ZONAS DE ALTO RIESGO NO MITIGABLE ID:2005-18-7102, LOCALIDAD:18 RAFAEL URIBE URIBE, UPZ:55 DIANA TURBAY.</v>
          </cell>
          <cell r="J864">
            <v>4942301</v>
          </cell>
          <cell r="K864">
            <v>0</v>
          </cell>
          <cell r="L864">
            <v>4942301</v>
          </cell>
          <cell r="M864">
            <v>1520708</v>
          </cell>
          <cell r="N864">
            <v>3421593</v>
          </cell>
        </row>
        <row r="865">
          <cell r="A865">
            <v>395</v>
          </cell>
          <cell r="B865">
            <v>1230</v>
          </cell>
          <cell r="C865">
            <v>43143</v>
          </cell>
          <cell r="D865" t="str">
            <v>NELFRIDO ENRIQUE TOVAR HOYOS</v>
          </cell>
          <cell r="E865">
            <v>31</v>
          </cell>
          <cell r="F865" t="str">
            <v>RESOLUCION</v>
          </cell>
          <cell r="G865">
            <v>907</v>
          </cell>
          <cell r="H865">
            <v>43143</v>
          </cell>
          <cell r="I865" t="str">
            <v>AYUDA TEMPORAL A LAS FAMILIAS DE VARIAS LOCALIDADES, PARA RELOCALIZACIÓN DE HOGARES LOCALIZADOS EN ZONAS DE ALTO RIESGO NO MITIGABLE ID:2016-08-14874, LOCALIDAD:08 KENNEDY, UPZ:82 PATIO BONITO, SECTOR:PALMITAS</v>
          </cell>
          <cell r="J865">
            <v>4027933</v>
          </cell>
          <cell r="K865">
            <v>0</v>
          </cell>
          <cell r="L865">
            <v>4027933</v>
          </cell>
          <cell r="M865">
            <v>2301676</v>
          </cell>
          <cell r="N865">
            <v>1726257</v>
          </cell>
        </row>
        <row r="866">
          <cell r="A866">
            <v>395</v>
          </cell>
          <cell r="B866">
            <v>1231</v>
          </cell>
          <cell r="C866">
            <v>43143</v>
          </cell>
          <cell r="D866" t="str">
            <v>JOSE MARIA DOKOE CAUCHERO</v>
          </cell>
          <cell r="E866">
            <v>31</v>
          </cell>
          <cell r="F866" t="str">
            <v>RESOLUCION</v>
          </cell>
          <cell r="G866">
            <v>795</v>
          </cell>
          <cell r="H866">
            <v>43143</v>
          </cell>
          <cell r="I866" t="str">
            <v>AYUDA TEMPORAL A LAS FAMILIAS DE VARIAS LOCALIDADES, PARA RELOCALIZACIÓN DE HOGARES LOCALIZADOS EN ZONAS DE ALTO RIESGO NO MITIGABLE ID:2016-W166-00025, LOCALIDAD:03 SANTA FE, UPZ:95 LAS CRUCES, SECTOR:UITOTO</v>
          </cell>
          <cell r="J866">
            <v>5736263</v>
          </cell>
          <cell r="K866">
            <v>0</v>
          </cell>
          <cell r="L866">
            <v>5736263</v>
          </cell>
          <cell r="M866">
            <v>1765004</v>
          </cell>
          <cell r="N866">
            <v>3971259</v>
          </cell>
        </row>
        <row r="867">
          <cell r="A867">
            <v>395</v>
          </cell>
          <cell r="B867">
            <v>1232</v>
          </cell>
          <cell r="C867">
            <v>43143</v>
          </cell>
          <cell r="D867" t="str">
            <v>CLEOFELINA  GARCIA DE CASTRO</v>
          </cell>
          <cell r="E867">
            <v>31</v>
          </cell>
          <cell r="F867" t="str">
            <v>RESOLUCION</v>
          </cell>
          <cell r="G867">
            <v>796</v>
          </cell>
          <cell r="H867">
            <v>43143</v>
          </cell>
          <cell r="I867" t="str">
            <v>AYUDA TEMPORAL A LAS FAMILIAS DE VARIAS LOCALIDADES, PARA RELOCALIZACIÓN DE HOGARES LOCALIZADOS EN ZONAS DE ALTO RIESGO NO MITIGABLE ID:2014-OTR-00888, LOCALIDAD:03 SANTA FE, UPZ:96 LOURDES, SECTOR:CASA 2</v>
          </cell>
          <cell r="J867">
            <v>3014166</v>
          </cell>
          <cell r="K867">
            <v>0</v>
          </cell>
          <cell r="L867">
            <v>3014166</v>
          </cell>
          <cell r="M867">
            <v>1507083</v>
          </cell>
          <cell r="N867">
            <v>1507083</v>
          </cell>
        </row>
        <row r="868">
          <cell r="A868">
            <v>395</v>
          </cell>
          <cell r="B868">
            <v>1233</v>
          </cell>
          <cell r="C868">
            <v>43143</v>
          </cell>
          <cell r="D868" t="str">
            <v>NELSON ARLEY ZULUAGA RAMIREZ</v>
          </cell>
          <cell r="E868">
            <v>31</v>
          </cell>
          <cell r="F868" t="str">
            <v>RESOLUCION</v>
          </cell>
          <cell r="G868">
            <v>797</v>
          </cell>
          <cell r="H868">
            <v>43143</v>
          </cell>
          <cell r="I868" t="str">
            <v>AYUDA TEMPORAL A LAS FAMILIAS DE VARIAS LOCALIDADES, PARA RELOCALIZACIÓN DE HOGARES LOCALIZADOS EN ZONAS DE ALTO RIESGO NO MITIGABLE ID:2016-08-14862, LOCALIDAD:08 KENNEDY, UPZ:82 PATIO BONITO, SECTOR:PALMITAS</v>
          </cell>
          <cell r="J868">
            <v>4929600</v>
          </cell>
          <cell r="K868">
            <v>0</v>
          </cell>
          <cell r="L868">
            <v>4929600</v>
          </cell>
          <cell r="M868">
            <v>1516800</v>
          </cell>
          <cell r="N868">
            <v>3412800</v>
          </cell>
        </row>
        <row r="869">
          <cell r="A869">
            <v>395</v>
          </cell>
          <cell r="B869">
            <v>1234</v>
          </cell>
          <cell r="C869">
            <v>43143</v>
          </cell>
          <cell r="D869" t="str">
            <v>ASTRID KATHERINE GAMBA GARZON</v>
          </cell>
          <cell r="E869">
            <v>31</v>
          </cell>
          <cell r="F869" t="str">
            <v>RESOLUCION</v>
          </cell>
          <cell r="G869">
            <v>798</v>
          </cell>
          <cell r="H869">
            <v>43143</v>
          </cell>
          <cell r="I869" t="str">
            <v>AYUDA TEMPORAL A LAS FAMILIAS DE VARIAS LOCALIDADES, PARA RELOCALIZACIÓN DE HOGARES LOCALIZADOS EN ZONAS DE ALTO RIESGO NO MITIGABLE ID:2015-3-14759, LOCALIDAD:03 SANTA FE, UPZ:96 LOURDES,</v>
          </cell>
          <cell r="J869">
            <v>6431698</v>
          </cell>
          <cell r="K869">
            <v>0</v>
          </cell>
          <cell r="L869">
            <v>6431698</v>
          </cell>
          <cell r="M869">
            <v>1978984</v>
          </cell>
          <cell r="N869">
            <v>4452714</v>
          </cell>
        </row>
        <row r="870">
          <cell r="A870">
            <v>395</v>
          </cell>
          <cell r="B870">
            <v>1235</v>
          </cell>
          <cell r="C870">
            <v>43143</v>
          </cell>
          <cell r="D870" t="str">
            <v>DIANA MARCELA AVELLA GUTIERREZ</v>
          </cell>
          <cell r="E870">
            <v>31</v>
          </cell>
          <cell r="F870" t="str">
            <v>RESOLUCION</v>
          </cell>
          <cell r="G870">
            <v>799</v>
          </cell>
          <cell r="H870">
            <v>43143</v>
          </cell>
          <cell r="I870" t="str">
            <v>AYUDA TEMPORAL A LAS FAMILIAS DE VARIAS LOCALIDADES, PARA RELOCALIZACIÓN DE HOGARES LOCALIZADOS EN ZONAS DE ALTO RIESGO NO MITIGABLE ID:2013-Q17-00021, LOCALIDAD:19 CIUDAD BOLÍVAR, UPZ:68 EL TESORO, SECTOR:QUEBRADA GALINDO</v>
          </cell>
          <cell r="J870">
            <v>3541044</v>
          </cell>
          <cell r="K870">
            <v>0</v>
          </cell>
          <cell r="L870">
            <v>3541044</v>
          </cell>
          <cell r="M870">
            <v>590174</v>
          </cell>
          <cell r="N870">
            <v>2950870</v>
          </cell>
        </row>
        <row r="871">
          <cell r="A871">
            <v>395</v>
          </cell>
          <cell r="B871">
            <v>1236</v>
          </cell>
          <cell r="C871">
            <v>43143</v>
          </cell>
          <cell r="D871" t="str">
            <v>CECILIA  GONZALEZ GUZMAN</v>
          </cell>
          <cell r="E871">
            <v>31</v>
          </cell>
          <cell r="F871" t="str">
            <v>RESOLUCION</v>
          </cell>
          <cell r="G871">
            <v>800</v>
          </cell>
          <cell r="H871">
            <v>43143</v>
          </cell>
          <cell r="I871" t="str">
            <v>AYUDA TEMPORAL A LAS FAMILIAS DE VARIAS LOCALIDADES, PARA RELOCALIZACIÓN DE HOGARES LOCALIZADOS EN ZONAS DE ALTO RIESGO NO MITIGABLE ID:2007-19-9711, LOCALIDAD:19 CIUDAD BOLÍVAR, UPZ:69 ISMAEL PERDOMO,</v>
          </cell>
          <cell r="J871">
            <v>4878720</v>
          </cell>
          <cell r="K871">
            <v>0</v>
          </cell>
          <cell r="L871">
            <v>4878720</v>
          </cell>
          <cell r="M871">
            <v>1219680</v>
          </cell>
          <cell r="N871">
            <v>3659040</v>
          </cell>
        </row>
        <row r="872">
          <cell r="A872">
            <v>395</v>
          </cell>
          <cell r="B872">
            <v>1237</v>
          </cell>
          <cell r="C872">
            <v>43144</v>
          </cell>
          <cell r="D872" t="str">
            <v>MIGUEL  PARRA BERNAL</v>
          </cell>
          <cell r="E872">
            <v>31</v>
          </cell>
          <cell r="F872" t="str">
            <v>RESOLUCION</v>
          </cell>
          <cell r="G872">
            <v>818</v>
          </cell>
          <cell r="H872">
            <v>43144</v>
          </cell>
          <cell r="I872" t="str">
            <v>AYUDA TEMPORAL A LAS FAMILIAS DE VARIAS LOCALIDADES, PARA RELOCALIZACIÓN DE HOGARES LOCALIZADOS EN ZONAS DE ALTO RIESGO NO MITIGABLE ID:2014-Q03-01229, LOCALIDAD:19 CIUDAD BOLÍVAR, UPZ:66 SAN FRANCISCO, SECTOR:LIMAS</v>
          </cell>
          <cell r="J872">
            <v>2545125</v>
          </cell>
          <cell r="K872">
            <v>0</v>
          </cell>
          <cell r="L872">
            <v>2545125</v>
          </cell>
          <cell r="M872">
            <v>1018050</v>
          </cell>
          <cell r="N872">
            <v>1527075</v>
          </cell>
        </row>
        <row r="873">
          <cell r="A873">
            <v>395</v>
          </cell>
          <cell r="B873">
            <v>1238</v>
          </cell>
          <cell r="C873">
            <v>43144</v>
          </cell>
          <cell r="D873" t="str">
            <v>LEONILDE  GARZON CORTES</v>
          </cell>
          <cell r="E873">
            <v>31</v>
          </cell>
          <cell r="F873" t="str">
            <v>RESOLUCION</v>
          </cell>
          <cell r="G873">
            <v>819</v>
          </cell>
          <cell r="H873">
            <v>43144</v>
          </cell>
          <cell r="I873" t="str">
            <v>AYUDA TEMPORAL A LAS FAMILIAS DE VARIAS LOCALIDADES, PARA RELOCALIZACIÓN DE HOGARES LOCALIZADOS EN ZONAS DE ALTO RIESGO NO MITIGABLE ID:2012-19-14130, LOCALIDAD:19 CIUDAD BOLÍVAR, UPZ:68 EL TESORO, SECTOR:QUEBRADA TROMPETA</v>
          </cell>
          <cell r="J873">
            <v>2343726</v>
          </cell>
          <cell r="K873">
            <v>0</v>
          </cell>
          <cell r="L873">
            <v>2343726</v>
          </cell>
          <cell r="M873">
            <v>1171863</v>
          </cell>
          <cell r="N873">
            <v>1171863</v>
          </cell>
        </row>
        <row r="874">
          <cell r="A874">
            <v>395</v>
          </cell>
          <cell r="B874">
            <v>1239</v>
          </cell>
          <cell r="C874">
            <v>43144</v>
          </cell>
          <cell r="D874" t="str">
            <v>YADIRA  GOMEZ DAZA</v>
          </cell>
          <cell r="E874">
            <v>31</v>
          </cell>
          <cell r="F874" t="str">
            <v>RESOLUCION</v>
          </cell>
          <cell r="G874">
            <v>820</v>
          </cell>
          <cell r="H874">
            <v>43144</v>
          </cell>
          <cell r="I874" t="str">
            <v>AYUDA TEMPORAL A LAS FAMILIAS DE VARIAS LOCALIDADES, PARA RELOCALIZACIÓN DE HOGARES LOCALIZADOS EN ZONAS DE ALTO RIESGO NO MITIGABLE ID:2012-19-14382, LOCALIDAD:19 CIUDAD BOLÍVAR, UPZ:68 EL TESORO, SECTOR:</v>
          </cell>
          <cell r="J874">
            <v>2299050</v>
          </cell>
          <cell r="K874">
            <v>0</v>
          </cell>
          <cell r="L874">
            <v>2299050</v>
          </cell>
          <cell r="M874">
            <v>919620</v>
          </cell>
          <cell r="N874">
            <v>1379430</v>
          </cell>
        </row>
        <row r="875">
          <cell r="A875">
            <v>483</v>
          </cell>
          <cell r="B875">
            <v>1240</v>
          </cell>
          <cell r="C875">
            <v>43144</v>
          </cell>
          <cell r="D875" t="str">
            <v>CAJA DE VIVIENDA POPULAR</v>
          </cell>
          <cell r="E875">
            <v>1</v>
          </cell>
          <cell r="F875" t="str">
            <v>RELACION DE AUTORIZACION</v>
          </cell>
          <cell r="G875">
            <v>15</v>
          </cell>
          <cell r="H875">
            <v>43144</v>
          </cell>
          <cell r="I875" t="str">
            <v>PAGO DE PARAFISCALES DE EXFUNCIONARIOS DE PLANTA TEMPORAL DE LA DIRECCIÓN DE REASENTAMIENTOS DE LA CAJA DE LA VIVIENDA POPULAR "</v>
          </cell>
          <cell r="J875">
            <v>2023800</v>
          </cell>
          <cell r="K875">
            <v>0</v>
          </cell>
          <cell r="L875">
            <v>2023800</v>
          </cell>
          <cell r="M875">
            <v>2023800</v>
          </cell>
          <cell r="N875">
            <v>0</v>
          </cell>
        </row>
        <row r="876">
          <cell r="A876">
            <v>395</v>
          </cell>
          <cell r="B876">
            <v>1241</v>
          </cell>
          <cell r="C876">
            <v>43144</v>
          </cell>
          <cell r="D876" t="str">
            <v>ANGELA PATRICIA ROJAS SIERRA</v>
          </cell>
          <cell r="E876">
            <v>31</v>
          </cell>
          <cell r="F876" t="str">
            <v>RESOLUCION</v>
          </cell>
          <cell r="G876">
            <v>801</v>
          </cell>
          <cell r="H876">
            <v>43144</v>
          </cell>
          <cell r="I876" t="str">
            <v>AYUDA TEMPORAL A LAS FAMILIAS DE VARIAS LOCALIDADES, PARA RELOCALIZACIÓN DE HOGARES LOCALIZADOS EN ZONAS DE ALTO RIESGO NO MITIGABLE ID:2011-4-12720, LOCALIDAD:04 SAN CRISTÓBAL, UPZ:32 SAN BLAS,</v>
          </cell>
          <cell r="J876">
            <v>4176009</v>
          </cell>
          <cell r="K876">
            <v>0</v>
          </cell>
          <cell r="L876">
            <v>4176009</v>
          </cell>
          <cell r="M876">
            <v>1392003</v>
          </cell>
          <cell r="N876">
            <v>2784006</v>
          </cell>
        </row>
        <row r="877">
          <cell r="A877">
            <v>395</v>
          </cell>
          <cell r="B877">
            <v>1242</v>
          </cell>
          <cell r="C877">
            <v>43144</v>
          </cell>
          <cell r="D877" t="str">
            <v>MARIA CARLOTA ARENAS GIRALDO</v>
          </cell>
          <cell r="E877">
            <v>31</v>
          </cell>
          <cell r="F877" t="str">
            <v>RESOLUCION</v>
          </cell>
          <cell r="G877">
            <v>802</v>
          </cell>
          <cell r="H877">
            <v>43144</v>
          </cell>
          <cell r="I877" t="str">
            <v>AYUDA TEMPORAL A LAS FAMILIAS DE VARIAS LOCALIDADES, PARA RELOCALIZACIÓN DE HOGARES LOCALIZADOS EN ZONAS DE ALTO RIESGO NO MITIGABLE ID:2012-T314-01, LOCALIDAD:04 SAN CRISTÓBAL, UPZ:50 LA GLORIA, SECTOR:</v>
          </cell>
          <cell r="J877">
            <v>2590566</v>
          </cell>
          <cell r="K877">
            <v>0</v>
          </cell>
          <cell r="L877">
            <v>2590566</v>
          </cell>
          <cell r="M877">
            <v>1295283</v>
          </cell>
          <cell r="N877">
            <v>1295283</v>
          </cell>
        </row>
        <row r="878">
          <cell r="A878">
            <v>395</v>
          </cell>
          <cell r="B878">
            <v>1243</v>
          </cell>
          <cell r="C878">
            <v>43144</v>
          </cell>
          <cell r="D878" t="str">
            <v>GERMAN MAURICIO TERREROS</v>
          </cell>
          <cell r="E878">
            <v>31</v>
          </cell>
          <cell r="F878" t="str">
            <v>RESOLUCION</v>
          </cell>
          <cell r="G878">
            <v>821</v>
          </cell>
          <cell r="H878">
            <v>43144</v>
          </cell>
          <cell r="I878" t="str">
            <v>AYUDA TEMPORAL A LAS FAMILIAS DE VARIAS LOCALIDADES, PARA RELOCALIZACIÓN DE HOGARES LOCALIZADOS EN ZONAS DE ALTO RIESGO NO MITIGABLE ID:2015-D227-00032, LOCALIDAD:04 SAN CRISTÓBAL, UPZ:51 LOS LIBERTADORES, SECTOR:SANTA TERESITA</v>
          </cell>
          <cell r="J878">
            <v>4949004</v>
          </cell>
          <cell r="K878">
            <v>0</v>
          </cell>
          <cell r="L878">
            <v>4949004</v>
          </cell>
          <cell r="M878">
            <v>1237251</v>
          </cell>
          <cell r="N878">
            <v>3711753</v>
          </cell>
        </row>
        <row r="879">
          <cell r="A879">
            <v>395</v>
          </cell>
          <cell r="B879">
            <v>1244</v>
          </cell>
          <cell r="C879">
            <v>43144</v>
          </cell>
          <cell r="D879" t="str">
            <v>ISRAEL  ALVAREZ RONDON</v>
          </cell>
          <cell r="E879">
            <v>31</v>
          </cell>
          <cell r="F879" t="str">
            <v>RESOLUCION</v>
          </cell>
          <cell r="G879">
            <v>803</v>
          </cell>
          <cell r="H879">
            <v>43144</v>
          </cell>
          <cell r="I879" t="str">
            <v>AYUDA TEMPORAL A LAS FAMILIAS DE VARIAS LOCALIDADES, PARA RELOCALIZACIÓN DE HOGARES LOCALIZADOS EN ZONAS DE ALTO RIESGO NO MITIGABLE ID:2011-4-12922, LOCALIDAD:04 SAN CRISTÓBAL, UPZ:50 LA GLORIA,</v>
          </cell>
          <cell r="J879">
            <v>3186936</v>
          </cell>
          <cell r="K879">
            <v>2655780</v>
          </cell>
          <cell r="L879">
            <v>531156</v>
          </cell>
          <cell r="M879">
            <v>531156</v>
          </cell>
          <cell r="N879">
            <v>0</v>
          </cell>
        </row>
        <row r="880">
          <cell r="A880">
            <v>395</v>
          </cell>
          <cell r="B880">
            <v>1245</v>
          </cell>
          <cell r="C880">
            <v>43144</v>
          </cell>
          <cell r="D880" t="str">
            <v>LUZ MARINA RAMOS RODRIGUEZ</v>
          </cell>
          <cell r="E880">
            <v>31</v>
          </cell>
          <cell r="F880" t="str">
            <v>RESOLUCION</v>
          </cell>
          <cell r="G880">
            <v>804</v>
          </cell>
          <cell r="H880">
            <v>43144</v>
          </cell>
          <cell r="I880" t="str">
            <v>AYUDA TEMPORAL A LAS FAMILIAS DE VARIAS LOCALIDADES, PARA RELOCALIZACIÓN DE HOGARES LOCALIZADOS EN ZONAS DE ALTO RIESGO NO MITIGABLE ID:2015-D227-00033, LOCALIDAD:04 SAN CRISTÓBAL, UPZ:51 LOS LIBERTADORES, SECTOR:SANTA TERESITA</v>
          </cell>
          <cell r="J880">
            <v>5361707</v>
          </cell>
          <cell r="K880">
            <v>0</v>
          </cell>
          <cell r="L880">
            <v>5361707</v>
          </cell>
          <cell r="M880">
            <v>1649756</v>
          </cell>
          <cell r="N880">
            <v>3711951</v>
          </cell>
        </row>
        <row r="881">
          <cell r="A881">
            <v>395</v>
          </cell>
          <cell r="B881">
            <v>1246</v>
          </cell>
          <cell r="C881">
            <v>43144</v>
          </cell>
          <cell r="D881" t="str">
            <v>JULIO CESAR CHICA BAUTISTA</v>
          </cell>
          <cell r="E881">
            <v>31</v>
          </cell>
          <cell r="F881" t="str">
            <v>RESOLUCION</v>
          </cell>
          <cell r="G881">
            <v>805</v>
          </cell>
          <cell r="H881">
            <v>43144</v>
          </cell>
          <cell r="I881" t="str">
            <v>AYUDA TEMPORAL A LAS FAMILIAS DE VARIAS LOCALIDADES, PARA RELOCALIZACIÓN DE HOGARES LOCALIZADOS EN ZONAS DE ALTO RIESGO NO MITIGABLE ID:2015-OTR-01370, LOCALIDAD:11 SUBA, UPZ:71 TIBABUYES, SECTOR:GAVILANES</v>
          </cell>
          <cell r="J881">
            <v>5100900</v>
          </cell>
          <cell r="K881">
            <v>0</v>
          </cell>
          <cell r="L881">
            <v>5100900</v>
          </cell>
          <cell r="M881">
            <v>1275225</v>
          </cell>
          <cell r="N881">
            <v>3825675</v>
          </cell>
        </row>
        <row r="882">
          <cell r="A882">
            <v>395</v>
          </cell>
          <cell r="B882">
            <v>1247</v>
          </cell>
          <cell r="C882">
            <v>43144</v>
          </cell>
          <cell r="D882" t="str">
            <v>ANA CECILIA VILLAQUIRA TITIMBO</v>
          </cell>
          <cell r="E882">
            <v>31</v>
          </cell>
          <cell r="F882" t="str">
            <v>RESOLUCION</v>
          </cell>
          <cell r="G882">
            <v>806</v>
          </cell>
          <cell r="H882">
            <v>43144</v>
          </cell>
          <cell r="I882" t="str">
            <v>AYUDA TEMPORAL A LAS FAMILIAS DE VARIAS LOCALIDADES, PARA RELOCALIZACIÓN DE HOGARES LOCALIZADOS EN ZONAS DE ALTO RIESGO NO MITIGABLE ID:2014-OTR-00950, LOCALIDAD:19 CIUDAD BOLÍVAR, UPZ:67 LUCERO, SECTOR:TABOR ALTALOMA</v>
          </cell>
          <cell r="J882">
            <v>3186936</v>
          </cell>
          <cell r="K882">
            <v>0</v>
          </cell>
          <cell r="L882">
            <v>3186936</v>
          </cell>
          <cell r="M882">
            <v>1593468</v>
          </cell>
          <cell r="N882">
            <v>1593468</v>
          </cell>
        </row>
        <row r="883">
          <cell r="A883">
            <v>395</v>
          </cell>
          <cell r="B883">
            <v>1248</v>
          </cell>
          <cell r="C883">
            <v>43144</v>
          </cell>
          <cell r="D883" t="str">
            <v>EDILBERTO  RODRIGUEZ DIAZ</v>
          </cell>
          <cell r="E883">
            <v>31</v>
          </cell>
          <cell r="F883" t="str">
            <v>RESOLUCION</v>
          </cell>
          <cell r="G883">
            <v>807</v>
          </cell>
          <cell r="H883">
            <v>43144</v>
          </cell>
          <cell r="I883" t="str">
            <v>AYUDA TEMPORAL A LAS FAMILIAS DE VARIAS LOCALIDADES, PARA RELOCALIZACIÓN DE HOGARES LOCALIZADOS EN ZONAS DE ALTO RIESGO NO MITIGABLE ID:2011-4-12483, LOCALIDAD:04 SAN CRISTÓBAL, UPZ:50 LA GLORIA, SECTOR:OLA INVERNAL 2010 FOPAE</v>
          </cell>
          <cell r="J883">
            <v>2700000</v>
          </cell>
          <cell r="K883">
            <v>0</v>
          </cell>
          <cell r="L883">
            <v>2700000</v>
          </cell>
          <cell r="M883">
            <v>1350000</v>
          </cell>
          <cell r="N883">
            <v>1350000</v>
          </cell>
        </row>
        <row r="884">
          <cell r="A884">
            <v>395</v>
          </cell>
          <cell r="B884">
            <v>1249</v>
          </cell>
          <cell r="C884">
            <v>43144</v>
          </cell>
          <cell r="D884" t="str">
            <v>NEYRA  MORENO PEÑA</v>
          </cell>
          <cell r="E884">
            <v>31</v>
          </cell>
          <cell r="F884" t="str">
            <v>RESOLUCION</v>
          </cell>
          <cell r="G884">
            <v>808</v>
          </cell>
          <cell r="H884">
            <v>43144</v>
          </cell>
          <cell r="I884" t="str">
            <v>AYUDA TEMPORAL A LAS FAMILIAS DE VARIAS LOCALIDADES, PARA RELOCALIZACIÓN DE HOGARES LOCALIZADOS EN ZONAS DE ALTO RIESGO NO MITIGABLE ID:2013-Q04-00498, LOCALIDAD:19 CIUDAD BOLÍVAR, UPZ:67 LUCERO, SECTOR:PEÑA COLORADA</v>
          </cell>
          <cell r="J884">
            <v>5336148</v>
          </cell>
          <cell r="K884">
            <v>0</v>
          </cell>
          <cell r="L884">
            <v>5336148</v>
          </cell>
          <cell r="M884">
            <v>1334037</v>
          </cell>
          <cell r="N884">
            <v>4002111</v>
          </cell>
        </row>
        <row r="885">
          <cell r="A885">
            <v>395</v>
          </cell>
          <cell r="B885">
            <v>1250</v>
          </cell>
          <cell r="C885">
            <v>43144</v>
          </cell>
          <cell r="D885" t="str">
            <v>OLGA  GONZALEZ GONZALEZ</v>
          </cell>
          <cell r="E885">
            <v>31</v>
          </cell>
          <cell r="F885" t="str">
            <v>RESOLUCION</v>
          </cell>
          <cell r="G885">
            <v>809</v>
          </cell>
          <cell r="H885">
            <v>43144</v>
          </cell>
          <cell r="I885" t="str">
            <v>AYUDA TEMPORAL A LAS FAMILIAS DE VARIAS LOCALIDADES, PARA RELOCALIZACIÓN DE HOGARES LOCALIZADOS EN ZONAS DE ALTO RIESGO NO MITIGABLE ID:2014-Q01-01192, LOCALIDAD:05 USME, UPZ:56 DANUBIO, SECTOR:HOYA DEL RAMO</v>
          </cell>
          <cell r="J885">
            <v>2531226</v>
          </cell>
          <cell r="K885">
            <v>0</v>
          </cell>
          <cell r="L885">
            <v>2531226</v>
          </cell>
          <cell r="M885">
            <v>843742</v>
          </cell>
          <cell r="N885">
            <v>1687484</v>
          </cell>
        </row>
        <row r="886">
          <cell r="A886">
            <v>395</v>
          </cell>
          <cell r="B886">
            <v>1251</v>
          </cell>
          <cell r="C886">
            <v>43144</v>
          </cell>
          <cell r="D886" t="str">
            <v>BLANCA NELLY SANCHEZ VARGAS</v>
          </cell>
          <cell r="E886">
            <v>31</v>
          </cell>
          <cell r="F886" t="str">
            <v>RESOLUCION</v>
          </cell>
          <cell r="G886">
            <v>810</v>
          </cell>
          <cell r="H886">
            <v>43144</v>
          </cell>
          <cell r="I886" t="str">
            <v>AYUDA TEMPORAL A LAS FAMILIAS DE VARIAS LOCALIDADES, PARA RELOCALIZACIÓN DE HOGARES LOCALIZADOS EN ZONAS DE ALTO RIESGO NO MITIGABLE ID:2012-ALES-83, LOCALIDAD:19 CIUDAD BOLÍVAR, UPZ:69 ISMAEL PERDOMO, SECTOR:ALTOS DE LA ESTANCIA</v>
          </cell>
          <cell r="J886">
            <v>3363507</v>
          </cell>
          <cell r="K886">
            <v>0</v>
          </cell>
          <cell r="L886">
            <v>3363507</v>
          </cell>
          <cell r="M886">
            <v>1922004</v>
          </cell>
          <cell r="N886">
            <v>1441503</v>
          </cell>
        </row>
        <row r="887">
          <cell r="A887">
            <v>395</v>
          </cell>
          <cell r="B887">
            <v>1252</v>
          </cell>
          <cell r="C887">
            <v>43144</v>
          </cell>
          <cell r="D887" t="str">
            <v>RUBIELA  AROCA YARA</v>
          </cell>
          <cell r="E887">
            <v>31</v>
          </cell>
          <cell r="F887" t="str">
            <v>RESOLUCION</v>
          </cell>
          <cell r="G887">
            <v>811</v>
          </cell>
          <cell r="H887">
            <v>43144</v>
          </cell>
          <cell r="I887" t="str">
            <v>AYUDA TEMPORAL A LAS FAMILIAS DE VARIAS LOCALIDADES, PARA RELOCALIZACIÓN DE HOGARES LOCALIZADOS EN ZONAS DE ALTO RIESGO NO MITIGABLE ID:2006-4-8640, LOCALIDAD:04 SAN CRISTÓBAL, UPZ:50 LA GLORIA, SECTOR:</v>
          </cell>
          <cell r="J887">
            <v>4802539</v>
          </cell>
          <cell r="K887">
            <v>0</v>
          </cell>
          <cell r="L887">
            <v>4802539</v>
          </cell>
          <cell r="M887">
            <v>2744308</v>
          </cell>
          <cell r="N887">
            <v>2058231</v>
          </cell>
        </row>
        <row r="888">
          <cell r="A888">
            <v>395</v>
          </cell>
          <cell r="B888">
            <v>1253</v>
          </cell>
          <cell r="C888">
            <v>43144</v>
          </cell>
          <cell r="D888" t="str">
            <v>YENNY  CHAMAPURO CHIRIMIA</v>
          </cell>
          <cell r="E888">
            <v>31</v>
          </cell>
          <cell r="F888" t="str">
            <v>RESOLUCION</v>
          </cell>
          <cell r="G888">
            <v>908</v>
          </cell>
          <cell r="H888">
            <v>43144</v>
          </cell>
          <cell r="I888" t="str">
            <v>AYUDA TEMPORAL A LAS FAMILIAS DE VARIAS LOCALIDADES, PARA RELOCALIZACIÓN DE HOGARES LOCALIZADOS EN ZONAS DE ALTO RIESGO NO MITIGABLE ID:2015-W166-437, LOCALIDAD:19 CIUDAD BOLÍVAR, UPZ:68 EL TESORO, SECTOR:WOUNAAN</v>
          </cell>
          <cell r="J888">
            <v>2165056</v>
          </cell>
          <cell r="K888">
            <v>541264</v>
          </cell>
          <cell r="L888">
            <v>1623792</v>
          </cell>
          <cell r="M888">
            <v>1623792</v>
          </cell>
          <cell r="N888">
            <v>0</v>
          </cell>
        </row>
        <row r="889">
          <cell r="A889">
            <v>395</v>
          </cell>
          <cell r="B889">
            <v>1254</v>
          </cell>
          <cell r="C889">
            <v>43144</v>
          </cell>
          <cell r="D889" t="str">
            <v>MARIA LUCENA QUINTERO ARIAS</v>
          </cell>
          <cell r="E889">
            <v>31</v>
          </cell>
          <cell r="F889" t="str">
            <v>RESOLUCION</v>
          </cell>
          <cell r="G889">
            <v>909</v>
          </cell>
          <cell r="H889">
            <v>43144</v>
          </cell>
          <cell r="I889" t="str">
            <v>AYUDA TEMPORAL A LAS FAMILIAS DE VARIAS LOCALIDADES, PARA RELOCALIZACIÓN DE HOGARES LOCALIZADOS EN ZONAS DE ALTO RIESGO NO MITIGABLE ID:2011-19-12886, LOCALIDAD:19 CIUDAD BOLÍVAR, UPZ:67 LUCERO</v>
          </cell>
          <cell r="J889">
            <v>2924376</v>
          </cell>
          <cell r="K889">
            <v>0</v>
          </cell>
          <cell r="L889">
            <v>2924376</v>
          </cell>
          <cell r="M889">
            <v>1671072</v>
          </cell>
          <cell r="N889">
            <v>1253304</v>
          </cell>
        </row>
        <row r="890">
          <cell r="A890">
            <v>395</v>
          </cell>
          <cell r="B890">
            <v>1255</v>
          </cell>
          <cell r="C890">
            <v>43144</v>
          </cell>
          <cell r="D890" t="str">
            <v>SONIA CECILIA BEDOYA TRIANA</v>
          </cell>
          <cell r="E890">
            <v>31</v>
          </cell>
          <cell r="F890" t="str">
            <v>RESOLUCION</v>
          </cell>
          <cell r="G890">
            <v>910</v>
          </cell>
          <cell r="H890">
            <v>43144</v>
          </cell>
          <cell r="I890" t="str">
            <v>AYUDA TEMPORAL A LAS FAMILIAS DE VARIAS LOCALIDADES, PARA RELOCALIZACIÓN DE HOGARES LOCALIZADOS EN ZONAS DE ALTO RIESGO NO MITIGABLE ID:2011-5-13640, LOCALIDAD:05 USME, UPZ:58 COMUNEROS.</v>
          </cell>
          <cell r="J890">
            <v>2437476</v>
          </cell>
          <cell r="K890">
            <v>0</v>
          </cell>
          <cell r="L890">
            <v>2437476</v>
          </cell>
          <cell r="M890">
            <v>1218738</v>
          </cell>
          <cell r="N890">
            <v>1218738</v>
          </cell>
        </row>
        <row r="891">
          <cell r="A891">
            <v>395</v>
          </cell>
          <cell r="B891">
            <v>1256</v>
          </cell>
          <cell r="C891">
            <v>43144</v>
          </cell>
          <cell r="D891" t="str">
            <v>LUIS JAVIER LEON CAICEDO</v>
          </cell>
          <cell r="E891">
            <v>31</v>
          </cell>
          <cell r="F891" t="str">
            <v>RESOLUCION</v>
          </cell>
          <cell r="G891">
            <v>911</v>
          </cell>
          <cell r="H891">
            <v>43144</v>
          </cell>
          <cell r="I891" t="str">
            <v>AYUDA TEMPORAL A LAS FAMILIAS DE VARIAS LOCALIDADES, PARA RELOCALIZACIÓN DE HOGARES LOCALIZADOS EN ZONAS DE ALTO RIESGO NO MITIGABLE ID:2011-19-13408, LOCALIDAD:19 CIUDAD BOLÍVAR, UPZ:3 UPR RIO TUNJUELO.</v>
          </cell>
          <cell r="J891">
            <v>2706492</v>
          </cell>
          <cell r="K891">
            <v>0</v>
          </cell>
          <cell r="L891">
            <v>2706492</v>
          </cell>
          <cell r="M891">
            <v>902164</v>
          </cell>
          <cell r="N891">
            <v>1804328</v>
          </cell>
        </row>
        <row r="892">
          <cell r="A892">
            <v>395</v>
          </cell>
          <cell r="B892">
            <v>1257</v>
          </cell>
          <cell r="C892">
            <v>43144</v>
          </cell>
          <cell r="D892" t="str">
            <v>LUZ MERY BERMUDEZ VARGAS</v>
          </cell>
          <cell r="E892">
            <v>31</v>
          </cell>
          <cell r="F892" t="str">
            <v>RESOLUCION</v>
          </cell>
          <cell r="G892">
            <v>769</v>
          </cell>
          <cell r="H892">
            <v>43144</v>
          </cell>
          <cell r="I892" t="str">
            <v>AYUDA TEMPORAL A LAS FAMILIAS DE VARIAS LOCALIDADES, PARA RELOCALIZACIÓN DE HOGARES LOCALIZADOS EN ZONAS DE ALTO RIESGO NO MITIGABLE ID:2015-Q03-03361, LOCALIDAD:19 CIUDAD BOLÍVAR, UPZ:67 LUCERO, SECTOR:LIMAS</v>
          </cell>
          <cell r="J892">
            <v>1804204</v>
          </cell>
          <cell r="K892">
            <v>451051</v>
          </cell>
          <cell r="L892">
            <v>1353153</v>
          </cell>
          <cell r="M892">
            <v>1353153</v>
          </cell>
          <cell r="N892">
            <v>0</v>
          </cell>
        </row>
        <row r="893">
          <cell r="A893">
            <v>395</v>
          </cell>
          <cell r="B893">
            <v>1258</v>
          </cell>
          <cell r="C893">
            <v>43144</v>
          </cell>
          <cell r="D893" t="str">
            <v>ELVIRA  CORZO DE GALEANO</v>
          </cell>
          <cell r="E893">
            <v>31</v>
          </cell>
          <cell r="F893" t="str">
            <v>RESOLUCION</v>
          </cell>
          <cell r="G893">
            <v>770</v>
          </cell>
          <cell r="H893">
            <v>43144</v>
          </cell>
          <cell r="I893" t="str">
            <v>AYUDA TEMPORAL A LAS FAMILIAS DE VARIAS LOCALIDADES, PARA RELOCALIZACIÓN DE HOGARES LOCALIZADOS EN ZONAS DE ALTO RIESGO NO MITIGABLE ID:2014-Q07-00919, LOCALIDAD:19 CIUDAD BOLÍVAR, UPZ:68 EL TESORO, SECTOR:QUEBRADA GALINDO</v>
          </cell>
          <cell r="J893">
            <v>1534452</v>
          </cell>
          <cell r="K893">
            <v>383613</v>
          </cell>
          <cell r="L893">
            <v>1150839</v>
          </cell>
          <cell r="M893">
            <v>1150839</v>
          </cell>
          <cell r="N893">
            <v>0</v>
          </cell>
        </row>
        <row r="894">
          <cell r="A894">
            <v>395</v>
          </cell>
          <cell r="B894">
            <v>1259</v>
          </cell>
          <cell r="C894">
            <v>43144</v>
          </cell>
          <cell r="D894" t="str">
            <v>ALVARO  GARZON GONZALEZ</v>
          </cell>
          <cell r="E894">
            <v>31</v>
          </cell>
          <cell r="F894" t="str">
            <v>RESOLUCION</v>
          </cell>
          <cell r="G894">
            <v>771</v>
          </cell>
          <cell r="H894">
            <v>43144</v>
          </cell>
          <cell r="I894" t="str">
            <v>AYUDA TEMPORAL A LAS FAMILIAS DE VARIAS LOCALIDADES, PARA RELOCALIZACIÓN DE HOGARES LOCALIZADOS EN ZONAS DE ALTO RIESGO NO MITIGABLE ID:2015-D227-00038, LOCALIDAD:04 SAN CRISTÓBAL, UPZ:51 LOS LIBERTADORES, SECTOR:SANTA TERESITA</v>
          </cell>
          <cell r="J894">
            <v>1933048</v>
          </cell>
          <cell r="K894">
            <v>483262</v>
          </cell>
          <cell r="L894">
            <v>1449786</v>
          </cell>
          <cell r="M894">
            <v>1449786</v>
          </cell>
          <cell r="N894">
            <v>0</v>
          </cell>
        </row>
        <row r="895">
          <cell r="A895">
            <v>395</v>
          </cell>
          <cell r="B895">
            <v>1260</v>
          </cell>
          <cell r="C895">
            <v>43144</v>
          </cell>
          <cell r="D895" t="str">
            <v>JENNY MARCELA MARTINEZ ECHEVERRI</v>
          </cell>
          <cell r="E895">
            <v>31</v>
          </cell>
          <cell r="F895" t="str">
            <v>RESOLUCION</v>
          </cell>
          <cell r="G895">
            <v>772</v>
          </cell>
          <cell r="H895">
            <v>43144</v>
          </cell>
          <cell r="I895" t="str">
            <v>AYUDA TEMPORAL A LAS FAMILIAS DE VARIAS LOCALIDADES, PARA RELOCALIZACIÓN DE HOGARES LOCALIZADOS EN ZONAS DE ALTO RIESGO NO MITIGABLE ID:2016-08-14868, LOCALIDAD:08 KENNEDY, UPZ:82 PATIO BONITO, SECTOR:PALMITAS</v>
          </cell>
          <cell r="J895">
            <v>5466487</v>
          </cell>
          <cell r="K895">
            <v>4625489</v>
          </cell>
          <cell r="L895">
            <v>840998</v>
          </cell>
          <cell r="M895">
            <v>840998</v>
          </cell>
          <cell r="N895">
            <v>0</v>
          </cell>
        </row>
        <row r="896">
          <cell r="A896">
            <v>395</v>
          </cell>
          <cell r="B896">
            <v>1261</v>
          </cell>
          <cell r="C896">
            <v>43144</v>
          </cell>
          <cell r="D896" t="str">
            <v>MARIA GILMA TAPIERO</v>
          </cell>
          <cell r="E896">
            <v>31</v>
          </cell>
          <cell r="F896" t="str">
            <v>RESOLUCION</v>
          </cell>
          <cell r="G896">
            <v>822</v>
          </cell>
          <cell r="H896">
            <v>43144</v>
          </cell>
          <cell r="I896" t="str">
            <v>AYUDA TEMPORAL A LAS FAMILIAS DE VARIAS LOCALIDADES, PARA RELOCALIZACIÓN DE HOGARES LOCALIZADOS EN ZONAS DE ALTO RIESGO NO MITIGABLE ID:2012-19-13830, LOCALIDAD:19 CIUDAD BOLÍVAR, UPZ:67 LUCERO, SECTOR:</v>
          </cell>
          <cell r="J896">
            <v>2892240</v>
          </cell>
          <cell r="K896">
            <v>0</v>
          </cell>
          <cell r="L896">
            <v>2892240</v>
          </cell>
          <cell r="M896">
            <v>964080</v>
          </cell>
          <cell r="N896">
            <v>1928160</v>
          </cell>
        </row>
        <row r="897">
          <cell r="A897">
            <v>395</v>
          </cell>
          <cell r="B897">
            <v>1262</v>
          </cell>
          <cell r="C897">
            <v>43144</v>
          </cell>
          <cell r="D897" t="str">
            <v>MARLEN  BELTRAN MUÑOZ</v>
          </cell>
          <cell r="E897">
            <v>31</v>
          </cell>
          <cell r="F897" t="str">
            <v>RESOLUCION</v>
          </cell>
          <cell r="G897">
            <v>773</v>
          </cell>
          <cell r="H897">
            <v>43144</v>
          </cell>
          <cell r="I897" t="str">
            <v>AYUDA TEMPORAL A LAS FAMILIAS DE VARIAS LOCALIDADES, PARA RELOCALIZACIÓN DE HOGARES LOCALIZADOS EN ZONAS DE ALTO RIESGO NO MITIGABLE ID:2011-4-13393, LOCALIDAD:04 SAN CRISTÓBAL, UPZ:32 SAN BLAS.</v>
          </cell>
          <cell r="J897">
            <v>5430984</v>
          </cell>
          <cell r="K897">
            <v>0</v>
          </cell>
          <cell r="L897">
            <v>5430984</v>
          </cell>
          <cell r="M897">
            <v>1671072</v>
          </cell>
          <cell r="N897">
            <v>3759912</v>
          </cell>
        </row>
        <row r="898">
          <cell r="A898">
            <v>395</v>
          </cell>
          <cell r="B898">
            <v>1263</v>
          </cell>
          <cell r="C898">
            <v>43144</v>
          </cell>
          <cell r="D898" t="str">
            <v>JOSE URBANO MUNZA PEÑA</v>
          </cell>
          <cell r="E898">
            <v>31</v>
          </cell>
          <cell r="F898" t="str">
            <v>RESOLUCION</v>
          </cell>
          <cell r="G898">
            <v>774</v>
          </cell>
          <cell r="H898">
            <v>43144</v>
          </cell>
          <cell r="I898" t="str">
            <v>AYUDA TEMPORAL A LAS FAMILIAS DE VARIAS LOCALIDADES, PARA RELOCALIZACIÓN DE HOGARES LOCALIZADOS EN ZONAS DE ALTO RIESGO NO MITIGABLE ID:2016-08-14811, LOCALIDAD:08 KENNEDY, UPZ:82 PATIO BONITO, SECTOR:PALMITAS</v>
          </cell>
          <cell r="J898">
            <v>4986969</v>
          </cell>
          <cell r="K898">
            <v>0</v>
          </cell>
          <cell r="L898">
            <v>4986969</v>
          </cell>
          <cell r="M898">
            <v>1534452</v>
          </cell>
          <cell r="N898">
            <v>3452517</v>
          </cell>
        </row>
        <row r="899">
          <cell r="A899">
            <v>395</v>
          </cell>
          <cell r="B899">
            <v>1264</v>
          </cell>
          <cell r="C899">
            <v>43144</v>
          </cell>
          <cell r="D899" t="str">
            <v>ESPERANZA  CANCHON LUGO</v>
          </cell>
          <cell r="E899">
            <v>31</v>
          </cell>
          <cell r="F899" t="str">
            <v>RESOLUCION</v>
          </cell>
          <cell r="G899">
            <v>826</v>
          </cell>
          <cell r="H899">
            <v>43144</v>
          </cell>
          <cell r="I899" t="str">
            <v>AYUDA TEMPORAL A LAS FAMILIAS DE VARIAS LOCALIDADES, PARA RELOCALIZACIÓN DE HOGARES LOCALIZADOS EN ZONAS DE ALTO RIESGO NO MITIGABLE ID:2011-4-13092, LOCALIDAD:04 SAN CRISTÓBAL, UPZ:34 20 DE JULIO, SECTOR:</v>
          </cell>
          <cell r="J899">
            <v>5430984</v>
          </cell>
          <cell r="K899">
            <v>0</v>
          </cell>
          <cell r="L899">
            <v>5430984</v>
          </cell>
          <cell r="M899">
            <v>417768</v>
          </cell>
          <cell r="N899">
            <v>5013216</v>
          </cell>
        </row>
        <row r="900">
          <cell r="A900">
            <v>395</v>
          </cell>
          <cell r="B900">
            <v>1265</v>
          </cell>
          <cell r="C900">
            <v>43144</v>
          </cell>
          <cell r="D900" t="str">
            <v>ANGIE GINETH RODRIGUEZ SUAREZ</v>
          </cell>
          <cell r="E900">
            <v>31</v>
          </cell>
          <cell r="F900" t="str">
            <v>RESOLUCION</v>
          </cell>
          <cell r="G900">
            <v>823</v>
          </cell>
          <cell r="H900">
            <v>43144</v>
          </cell>
          <cell r="I900" t="str">
            <v>AYUDA TEMPORAL A LAS FAMILIAS DE VARIAS LOCALIDADES, PARA RELOCALIZACIÓN DE HOGARES LOCALIZADOS EN ZONAS DE ALTO RIESGO NO MITIGABLE ID:2012-ALES-58, LOCALIDAD:19 CIUDAD BOLÍVAR, UPZ:69 ISMAEL PERDOMO, SECTOR:ALTOS DE LA ESTANCIA</v>
          </cell>
          <cell r="J900">
            <v>3421842</v>
          </cell>
          <cell r="K900">
            <v>0</v>
          </cell>
          <cell r="L900">
            <v>3421842</v>
          </cell>
          <cell r="M900">
            <v>1140614</v>
          </cell>
          <cell r="N900">
            <v>2281228</v>
          </cell>
        </row>
        <row r="901">
          <cell r="A901">
            <v>395</v>
          </cell>
          <cell r="B901">
            <v>1266</v>
          </cell>
          <cell r="C901">
            <v>43144</v>
          </cell>
          <cell r="D901" t="str">
            <v>LUZ MARINA GARCIA</v>
          </cell>
          <cell r="E901">
            <v>31</v>
          </cell>
          <cell r="F901" t="str">
            <v>RESOLUCION</v>
          </cell>
          <cell r="G901">
            <v>775</v>
          </cell>
          <cell r="H901">
            <v>43144</v>
          </cell>
          <cell r="I901" t="str">
            <v>AYUDA TEMPORAL A LAS FAMILIAS DE VARIAS LOCALIDADES, PARA RELOCALIZACIÓN DE HOGARES LOCALIZADOS EN ZONAS DE ALTO RIESGO NO MITIGABLE ID:2011-5-13414, LOCALIDAD:05 USME, UPZ:58 COMUNEROS.</v>
          </cell>
          <cell r="J901">
            <v>3363360</v>
          </cell>
          <cell r="K901">
            <v>0</v>
          </cell>
          <cell r="L901">
            <v>3363360</v>
          </cell>
          <cell r="M901">
            <v>1921920</v>
          </cell>
          <cell r="N901">
            <v>1441440</v>
          </cell>
        </row>
        <row r="902">
          <cell r="A902">
            <v>395</v>
          </cell>
          <cell r="B902">
            <v>1267</v>
          </cell>
          <cell r="C902">
            <v>43144</v>
          </cell>
          <cell r="D902" t="str">
            <v>NANCY  CANCHON LUGO</v>
          </cell>
          <cell r="E902">
            <v>31</v>
          </cell>
          <cell r="F902" t="str">
            <v>RESOLUCION</v>
          </cell>
          <cell r="G902">
            <v>827</v>
          </cell>
          <cell r="H902">
            <v>43144</v>
          </cell>
          <cell r="I902" t="str">
            <v>AYUDA TEMPORAL A LAS FAMILIAS DE VARIAS LOCALIDADES, PARA RELOCALIZACIÓN DE HOGARES LOCALIZADOS EN ZONAS DE ALTO RIESGO NO MITIGABLE ID:2011-4-13091, LOCALIDAD:04 SAN CRISTÓBAL, UPZ:34 20 DE JULIO, SECTOR:</v>
          </cell>
          <cell r="J902">
            <v>6266520</v>
          </cell>
          <cell r="K902">
            <v>0</v>
          </cell>
          <cell r="L902">
            <v>6266520</v>
          </cell>
          <cell r="M902">
            <v>482040</v>
          </cell>
          <cell r="N902">
            <v>5784480</v>
          </cell>
        </row>
        <row r="903">
          <cell r="A903">
            <v>395</v>
          </cell>
          <cell r="B903">
            <v>1268</v>
          </cell>
          <cell r="C903">
            <v>43144</v>
          </cell>
          <cell r="D903" t="str">
            <v>ANA JAZMIN MUÑOZ PEÑA</v>
          </cell>
          <cell r="E903">
            <v>31</v>
          </cell>
          <cell r="F903" t="str">
            <v>RESOLUCION</v>
          </cell>
          <cell r="G903">
            <v>776</v>
          </cell>
          <cell r="H903">
            <v>43144</v>
          </cell>
          <cell r="I903" t="str">
            <v>AYUDA TEMPORAL A LAS FAMILIAS DE VARIAS LOCALIDADES, PARA RELOCALIZACIÓN DE HOGARES LOCALIZADOS EN ZONAS DE ALTO RIESGO NO MITIGABLE ID:2015-D227-00012, LOCALIDAD:04 SAN CRISTÓBAL, UPZ:51 LOS LIBERTADORES, SECTOR:SANTA TERESITA</v>
          </cell>
          <cell r="J903">
            <v>2552010</v>
          </cell>
          <cell r="K903">
            <v>0</v>
          </cell>
          <cell r="L903">
            <v>2552010</v>
          </cell>
          <cell r="M903">
            <v>1276005</v>
          </cell>
          <cell r="N903">
            <v>1276005</v>
          </cell>
        </row>
        <row r="904">
          <cell r="A904">
            <v>395</v>
          </cell>
          <cell r="B904">
            <v>1269</v>
          </cell>
          <cell r="C904">
            <v>43144</v>
          </cell>
          <cell r="D904" t="str">
            <v>LYDA MARCELA VELASQUEZ DIAZ</v>
          </cell>
          <cell r="E904">
            <v>31</v>
          </cell>
          <cell r="F904" t="str">
            <v>RESOLUCION</v>
          </cell>
          <cell r="G904">
            <v>828</v>
          </cell>
          <cell r="H904">
            <v>43144</v>
          </cell>
          <cell r="I904" t="str">
            <v>AYUDA TEMPORAL A LAS FAMILIAS DE VARIAS LOCALIDADES, PARA RELOCALIZACIÓN DE HOGARES LOCALIZADOS EN ZONAS DE ALTO RIESGO NO MITIGABLE ID:2011-4-12484, LOCALIDAD:04 SAN CRISTÓBAL, UPZ:50 LA GLORIA, SECTOR:OLA INVERNAL 2010 FOPAE</v>
          </cell>
          <cell r="J904">
            <v>5378477</v>
          </cell>
          <cell r="K904">
            <v>0</v>
          </cell>
          <cell r="L904">
            <v>5378477</v>
          </cell>
          <cell r="M904">
            <v>1241187</v>
          </cell>
          <cell r="N904">
            <v>4137290</v>
          </cell>
        </row>
        <row r="905">
          <cell r="A905">
            <v>395</v>
          </cell>
          <cell r="B905">
            <v>1270</v>
          </cell>
          <cell r="C905">
            <v>43144</v>
          </cell>
          <cell r="D905" t="str">
            <v>YURI MARCELA RODRIGUEZ TRUJILLO</v>
          </cell>
          <cell r="E905">
            <v>31</v>
          </cell>
          <cell r="F905" t="str">
            <v>RESOLUCION</v>
          </cell>
          <cell r="G905">
            <v>829</v>
          </cell>
          <cell r="H905">
            <v>43144</v>
          </cell>
          <cell r="I905" t="str">
            <v>AYUDA TEMPORAL A LAS FAMILIAS DE VARIAS LOCALIDADES, PARA RELOCALIZACIÓN DE HOGARES LOCALIZADOS EN ZONAS DE ALTO RIESGO NO MITIGABLE ID:2012-4-14480, LOCALIDAD:04 SAN CRISTÓBAL, UPZ:32 SAN BLAS, SECTOR:</v>
          </cell>
          <cell r="J905">
            <v>8632728</v>
          </cell>
          <cell r="K905">
            <v>0</v>
          </cell>
          <cell r="L905">
            <v>8632728</v>
          </cell>
          <cell r="M905">
            <v>1992168</v>
          </cell>
          <cell r="N905">
            <v>6640560</v>
          </cell>
        </row>
        <row r="906">
          <cell r="A906">
            <v>395</v>
          </cell>
          <cell r="B906">
            <v>1271</v>
          </cell>
          <cell r="C906">
            <v>43144</v>
          </cell>
          <cell r="D906" t="str">
            <v>GEIMAR ARLEY NIÑO SANCHEZ</v>
          </cell>
          <cell r="E906">
            <v>31</v>
          </cell>
          <cell r="F906" t="str">
            <v>RESOLUCION</v>
          </cell>
          <cell r="G906">
            <v>824</v>
          </cell>
          <cell r="H906">
            <v>43144</v>
          </cell>
          <cell r="I906" t="str">
            <v>AYUDA TEMPORAL A LAS FAMILIAS DE VARIAS LOCALIDADES, PARA RELOCALIZACIÓN DE HOGARES LOCALIZADOS EN ZONAS DE ALTO RIESGO NO MITIGABLE ID:2014-Q03-01077, LOCALIDAD:19 CIUDAD BOLÍVAR, UPZ:66 SAN FRANCISCO, SECTOR:LIMAS</v>
          </cell>
          <cell r="J906">
            <v>928002</v>
          </cell>
          <cell r="K906">
            <v>464001</v>
          </cell>
          <cell r="L906">
            <v>464001</v>
          </cell>
          <cell r="M906">
            <v>464001</v>
          </cell>
          <cell r="N906">
            <v>0</v>
          </cell>
        </row>
        <row r="907">
          <cell r="A907">
            <v>395</v>
          </cell>
          <cell r="B907">
            <v>1272</v>
          </cell>
          <cell r="C907">
            <v>43144</v>
          </cell>
          <cell r="D907" t="str">
            <v>ISABELA  OPUA MEMBACHE</v>
          </cell>
          <cell r="E907">
            <v>31</v>
          </cell>
          <cell r="F907" t="str">
            <v>RESOLUCION</v>
          </cell>
          <cell r="G907">
            <v>523</v>
          </cell>
          <cell r="H907">
            <v>43144</v>
          </cell>
          <cell r="I907" t="str">
            <v>AYUDA TEMPORAL A LAS FAMILIAS DE VARIAS LOCALIDADES, PARA RELOCALIZACIÓN DE HOGARES LOCALIZADOS EN ZONAS DE ALTO RIESGO NO MITIGABLE ID:2015-W166-436, LOCALIDAD:19 CIUDAD BOLÍVAR, UPZ:68 EL TESORO, SECTOR:WOUNAAN</v>
          </cell>
          <cell r="J907">
            <v>7020000</v>
          </cell>
          <cell r="K907">
            <v>0</v>
          </cell>
          <cell r="L907">
            <v>7020000</v>
          </cell>
          <cell r="M907">
            <v>2160000</v>
          </cell>
          <cell r="N907">
            <v>4860000</v>
          </cell>
        </row>
        <row r="908">
          <cell r="A908">
            <v>395</v>
          </cell>
          <cell r="B908">
            <v>1273</v>
          </cell>
          <cell r="C908">
            <v>43144</v>
          </cell>
          <cell r="D908" t="str">
            <v>OTONIEL  GIRALDO RODRIGUEZ</v>
          </cell>
          <cell r="E908">
            <v>31</v>
          </cell>
          <cell r="F908" t="str">
            <v>RESOLUCION</v>
          </cell>
          <cell r="G908">
            <v>830</v>
          </cell>
          <cell r="H908">
            <v>43144</v>
          </cell>
          <cell r="I908" t="str">
            <v>AYUDA TEMPORAL A LAS FAMILIAS DE VARIAS LOCALIDADES, PARA RELOCALIZACIÓN DE HOGARES LOCALIZADOS EN ZONAS DE ALTO RIESGO NO MITIGABLE ID:2014-Q04-00835, LOCALIDAD:19 CIUDAD BOLÍVAR, UPZ:67 LUCERO, SECTOR:PEÑA COLORADA</v>
          </cell>
          <cell r="J908">
            <v>2706270</v>
          </cell>
          <cell r="K908">
            <v>0</v>
          </cell>
          <cell r="L908">
            <v>2706270</v>
          </cell>
          <cell r="M908">
            <v>1353135</v>
          </cell>
          <cell r="N908">
            <v>1353135</v>
          </cell>
        </row>
        <row r="909">
          <cell r="A909">
            <v>395</v>
          </cell>
          <cell r="B909">
            <v>1274</v>
          </cell>
          <cell r="C909">
            <v>43144</v>
          </cell>
          <cell r="D909" t="str">
            <v>MARTHA LILIANA BLANCO PEREZ</v>
          </cell>
          <cell r="E909">
            <v>31</v>
          </cell>
          <cell r="F909" t="str">
            <v>RESOLUCION</v>
          </cell>
          <cell r="G909">
            <v>831</v>
          </cell>
          <cell r="H909">
            <v>43144</v>
          </cell>
          <cell r="I909" t="str">
            <v>AYUDA TEMPORAL A LAS FAMILIAS DE VARIAS LOCALIDADES, PARA RELOCALIZACIÓN DE HOGARES LOCALIZADOS EN ZONAS DE ALTO RIESGO NO MITIGABLE ID:2014-Q03-01021, LOCALIDAD:19 CIUDAD BOLÍVAR, UPZ:66 SAN FRANCISCO, SECTOR:LIMAS</v>
          </cell>
          <cell r="J909">
            <v>6205092</v>
          </cell>
          <cell r="K909">
            <v>0</v>
          </cell>
          <cell r="L909">
            <v>6205092</v>
          </cell>
          <cell r="M909">
            <v>1034182</v>
          </cell>
          <cell r="N909">
            <v>5170910</v>
          </cell>
        </row>
        <row r="910">
          <cell r="A910">
            <v>395</v>
          </cell>
          <cell r="B910">
            <v>1275</v>
          </cell>
          <cell r="C910">
            <v>43144</v>
          </cell>
          <cell r="D910" t="str">
            <v>HEIDY CAROLINA CONTRERAS GONZALEZ</v>
          </cell>
          <cell r="E910">
            <v>31</v>
          </cell>
          <cell r="F910" t="str">
            <v>RESOLUCION</v>
          </cell>
          <cell r="G910">
            <v>832</v>
          </cell>
          <cell r="H910">
            <v>43144</v>
          </cell>
          <cell r="I910" t="str">
            <v>AYUDA TEMPORAL A LAS FAMILIAS DE VARIAS LOCALIDADES, PARA RELOCALIZACIÓN DE HOGARES LOCALIZADOS EN ZONAS DE ALTO RIESGO NO MITIGABLE ID:2014-OTR-01216, LOCALIDAD:11 SUBA, UPZ:71 TIBABUYES, SECTOR:GAVILANES</v>
          </cell>
          <cell r="J910">
            <v>3319728</v>
          </cell>
          <cell r="K910">
            <v>0</v>
          </cell>
          <cell r="L910">
            <v>3319728</v>
          </cell>
          <cell r="M910">
            <v>1659864</v>
          </cell>
          <cell r="N910">
            <v>1659864</v>
          </cell>
        </row>
        <row r="911">
          <cell r="A911">
            <v>395</v>
          </cell>
          <cell r="B911">
            <v>1276</v>
          </cell>
          <cell r="C911">
            <v>43144</v>
          </cell>
          <cell r="D911" t="str">
            <v>ANGIE NATALIA TORRES RISCANEVO</v>
          </cell>
          <cell r="E911">
            <v>31</v>
          </cell>
          <cell r="F911" t="str">
            <v>RESOLUCION</v>
          </cell>
          <cell r="G911">
            <v>833</v>
          </cell>
          <cell r="H911">
            <v>43144</v>
          </cell>
          <cell r="I911" t="str">
            <v>AYUDA TEMPORAL A LAS FAMILIAS DE VARIAS LOCALIDADES, PARA RELOCALIZACIÓN DE HOGARES LOCALIZADOS EN ZONAS DE ALTO RIESGO NO MITIGABLE ID:2016-08-14883, LOCALIDAD:08 KENNEDY, UPZ:82 PATIO BONITO, SECTOR:PALMITAS</v>
          </cell>
          <cell r="J911">
            <v>4780404</v>
          </cell>
          <cell r="K911">
            <v>0</v>
          </cell>
          <cell r="L911">
            <v>4780404</v>
          </cell>
          <cell r="M911">
            <v>1195101</v>
          </cell>
          <cell r="N911">
            <v>3585303</v>
          </cell>
        </row>
        <row r="912">
          <cell r="A912">
            <v>395</v>
          </cell>
          <cell r="B912">
            <v>1277</v>
          </cell>
          <cell r="C912">
            <v>43144</v>
          </cell>
          <cell r="D912" t="str">
            <v>AIDA LUCI CARPIO MEMBACHE</v>
          </cell>
          <cell r="E912">
            <v>31</v>
          </cell>
          <cell r="F912" t="str">
            <v>RESOLUCION</v>
          </cell>
          <cell r="G912">
            <v>834</v>
          </cell>
          <cell r="H912">
            <v>43144</v>
          </cell>
          <cell r="I912" t="str">
            <v>AYUDA TEMPORAL A LAS FAMILIAS DE VARIAS LOCALIDADES, PARA RELOCALIZACIÓN DE HOGARES LOCALIZADOS EN ZONAS DE ALTO RIESGO NO MITIGABLE ID:2014-W166-032, LOCALIDAD:19 CIUDAD BOLÍVAR, UPZ:67 LUCERO, SECTOR:WOUNAAN</v>
          </cell>
          <cell r="J912">
            <v>6196824</v>
          </cell>
          <cell r="K912">
            <v>0</v>
          </cell>
          <cell r="L912">
            <v>6196824</v>
          </cell>
          <cell r="M912">
            <v>1549206</v>
          </cell>
          <cell r="N912">
            <v>4647618</v>
          </cell>
        </row>
        <row r="913">
          <cell r="A913">
            <v>395</v>
          </cell>
          <cell r="B913">
            <v>1278</v>
          </cell>
          <cell r="C913">
            <v>43144</v>
          </cell>
          <cell r="D913" t="str">
            <v>FLOR ALBA MONTERO RICAURTE</v>
          </cell>
          <cell r="E913">
            <v>31</v>
          </cell>
          <cell r="F913" t="str">
            <v>RESOLUCION</v>
          </cell>
          <cell r="G913">
            <v>835</v>
          </cell>
          <cell r="H913">
            <v>43144</v>
          </cell>
          <cell r="I913" t="str">
            <v>AYUDA TEMPORAL A LAS FAMILIAS DE VARIAS LOCALIDADES, PARA RELOCALIZACIÓN DE HOGARES LOCALIZADOS EN ZONAS DE ALTO RIESGO NO MITIGABLE ID:2010-5-11616, LOCALIDAD:05 USME, UPZ:57 GRAN YOMASA, SECTOR:OLA INVERNAL 2010 FOPAE</v>
          </cell>
          <cell r="J913">
            <v>2442336</v>
          </cell>
          <cell r="K913">
            <v>0</v>
          </cell>
          <cell r="L913">
            <v>2442336</v>
          </cell>
          <cell r="M913">
            <v>1221168</v>
          </cell>
          <cell r="N913">
            <v>1221168</v>
          </cell>
        </row>
        <row r="914">
          <cell r="A914">
            <v>395</v>
          </cell>
          <cell r="B914">
            <v>1279</v>
          </cell>
          <cell r="C914">
            <v>43144</v>
          </cell>
          <cell r="D914" t="str">
            <v>JOSE PABLO LUNA CUELLAR</v>
          </cell>
          <cell r="E914">
            <v>31</v>
          </cell>
          <cell r="F914" t="str">
            <v>RESOLUCION</v>
          </cell>
          <cell r="G914">
            <v>836</v>
          </cell>
          <cell r="H914">
            <v>43144</v>
          </cell>
          <cell r="I914" t="str">
            <v>AYUDA TEMPORAL A LAS FAMILIAS DE VARIAS LOCALIDADES, PARA RELOCALIZACIÓN DE HOGARES LOCALIZADOS EN ZONAS DE ALTO RIESGO NO MITIGABLE ID:2014-OTR-01258, LOCALIDAD:11 SUBA, UPZ:71 TIBABUYES, SECTOR:GAVILANES</v>
          </cell>
          <cell r="J914">
            <v>2550450</v>
          </cell>
          <cell r="K914">
            <v>0</v>
          </cell>
          <cell r="L914">
            <v>2550450</v>
          </cell>
          <cell r="M914">
            <v>1275225</v>
          </cell>
          <cell r="N914">
            <v>1275225</v>
          </cell>
        </row>
        <row r="915">
          <cell r="A915">
            <v>395</v>
          </cell>
          <cell r="B915">
            <v>1280</v>
          </cell>
          <cell r="C915">
            <v>43144</v>
          </cell>
          <cell r="D915" t="str">
            <v>MARIA LILIA BONILLA</v>
          </cell>
          <cell r="E915">
            <v>31</v>
          </cell>
          <cell r="F915" t="str">
            <v>RESOLUCION</v>
          </cell>
          <cell r="G915">
            <v>837</v>
          </cell>
          <cell r="H915">
            <v>43144</v>
          </cell>
          <cell r="I915" t="str">
            <v>AYUDA TEMPORAL A LAS FAMILIAS DE VARIAS LOCALIDADES, PARA RELOCALIZACIÓN DE HOGARES LOCALIZADOS EN ZONAS DE ALTO RIESGO NO MITIGABLE ID:2012-19-13821, LOCALIDAD:19 CIUDAD BOLÍVAR, UPZ:67 LUCERO, SECTOR:</v>
          </cell>
          <cell r="J915">
            <v>2892240</v>
          </cell>
          <cell r="K915">
            <v>0</v>
          </cell>
          <cell r="L915">
            <v>2892240</v>
          </cell>
          <cell r="M915">
            <v>964080</v>
          </cell>
          <cell r="N915">
            <v>1928160</v>
          </cell>
        </row>
        <row r="916">
          <cell r="A916">
            <v>395</v>
          </cell>
          <cell r="B916">
            <v>1282</v>
          </cell>
          <cell r="C916">
            <v>43144</v>
          </cell>
          <cell r="D916" t="str">
            <v>ANTONIO VICENTE TORRES RUBIO</v>
          </cell>
          <cell r="E916">
            <v>31</v>
          </cell>
          <cell r="F916" t="str">
            <v>RESOLUCION</v>
          </cell>
          <cell r="G916">
            <v>838</v>
          </cell>
          <cell r="H916">
            <v>43144</v>
          </cell>
          <cell r="I916" t="str">
            <v>AYUDA TEMPORAL A LAS FAMILIAS DE VARIAS LOCALIDADES, PARA RELOCALIZACIÓN DE HOGARES LOCALIZADOS EN ZONAS DE ALTO RIESGO NO MITIGABLE ID:2015-D227-00008, LOCALIDAD:04 SAN CRISTÓBAL, UPZ:51 LOS LIBERTADORES, SECTOR:SANTA TERESITA</v>
          </cell>
          <cell r="J916">
            <v>6108300</v>
          </cell>
          <cell r="K916">
            <v>0</v>
          </cell>
          <cell r="L916">
            <v>6108300</v>
          </cell>
          <cell r="M916">
            <v>1527075</v>
          </cell>
          <cell r="N916">
            <v>4581225</v>
          </cell>
        </row>
        <row r="917">
          <cell r="A917">
            <v>395</v>
          </cell>
          <cell r="B917">
            <v>1283</v>
          </cell>
          <cell r="C917">
            <v>43144</v>
          </cell>
          <cell r="D917" t="str">
            <v>ELVER YAIMA BONILLA</v>
          </cell>
          <cell r="E917">
            <v>31</v>
          </cell>
          <cell r="F917" t="str">
            <v>RESOLUCION</v>
          </cell>
          <cell r="G917">
            <v>839</v>
          </cell>
          <cell r="H917">
            <v>43144</v>
          </cell>
          <cell r="I917" t="str">
            <v>AYUDA TEMPORAL A LAS FAMILIAS DE VARIAS LOCALIDADES, PARA RELOCALIZACIÓN DE HOGARES LOCALIZADOS EN ZONAS DE ALTO RIESGO NO MITIGABLE ID:2012-19-13884, LOCALIDAD:19 CIUDAD BOLÍVAR, UPZ:67 LUCERO, SECTOR:</v>
          </cell>
          <cell r="J917">
            <v>2671848</v>
          </cell>
          <cell r="K917">
            <v>0</v>
          </cell>
          <cell r="L917">
            <v>2671848</v>
          </cell>
          <cell r="M917">
            <v>890616</v>
          </cell>
          <cell r="N917">
            <v>1781232</v>
          </cell>
        </row>
        <row r="918">
          <cell r="A918">
            <v>395</v>
          </cell>
          <cell r="B918">
            <v>1284</v>
          </cell>
          <cell r="C918">
            <v>43144</v>
          </cell>
          <cell r="D918" t="str">
            <v>BLANCA LUZ TORRES CARRILLO</v>
          </cell>
          <cell r="E918">
            <v>31</v>
          </cell>
          <cell r="F918" t="str">
            <v>RESOLUCION</v>
          </cell>
          <cell r="G918">
            <v>840</v>
          </cell>
          <cell r="H918">
            <v>43144</v>
          </cell>
          <cell r="I918" t="str">
            <v>AYUDA TEMPORAL A LAS FAMILIAS DE VARIAS LOCALIDADES, PARA RELOCALIZACIÓN DE HOGARES LOCALIZADOS EN ZONAS DE ALTO RIESGO NO MITIGABLE ID:2014-Q03-01022, LOCALIDAD:19 CIUDAD BOLÍVAR, UPZ:66 SAN FRANCISCO, SECTOR:LIMAS</v>
          </cell>
          <cell r="J918">
            <v>2924376</v>
          </cell>
          <cell r="K918">
            <v>0</v>
          </cell>
          <cell r="L918">
            <v>2924376</v>
          </cell>
          <cell r="M918">
            <v>1671072</v>
          </cell>
          <cell r="N918">
            <v>1253304</v>
          </cell>
        </row>
        <row r="919">
          <cell r="A919">
            <v>395</v>
          </cell>
          <cell r="B919">
            <v>1285</v>
          </cell>
          <cell r="C919">
            <v>43144</v>
          </cell>
          <cell r="D919" t="str">
            <v>JACKELINE  GOMEZ NUÑEZ</v>
          </cell>
          <cell r="E919">
            <v>31</v>
          </cell>
          <cell r="F919" t="str">
            <v>RESOLUCION</v>
          </cell>
          <cell r="G919">
            <v>841</v>
          </cell>
          <cell r="H919">
            <v>43144</v>
          </cell>
          <cell r="I919" t="str">
            <v>AYUDA TEMPORAL A LAS FAMILIAS DE VARIAS LOCALIDADES, PARA RELOCALIZACIÓN DE HOGARES LOCALIZADOS EN ZONAS DE ALTO RIESGO NO MITIGABLE ID:2014-Q09-00928, LOCALIDAD:19 CIUDAD BOLÍVAR, UPZ:67 LUCERO, SECTOR:QUEBRADA TROMPETA</v>
          </cell>
          <cell r="J919">
            <v>2343726</v>
          </cell>
          <cell r="K919">
            <v>0</v>
          </cell>
          <cell r="L919">
            <v>2343726</v>
          </cell>
          <cell r="M919">
            <v>1171863</v>
          </cell>
          <cell r="N919">
            <v>1171863</v>
          </cell>
        </row>
        <row r="920">
          <cell r="A920">
            <v>395</v>
          </cell>
          <cell r="B920">
            <v>1286</v>
          </cell>
          <cell r="C920">
            <v>43144</v>
          </cell>
          <cell r="D920" t="str">
            <v>ANA MERCEDES GUTIERREZ NAJAR</v>
          </cell>
          <cell r="E920">
            <v>31</v>
          </cell>
          <cell r="F920" t="str">
            <v>RESOLUCION</v>
          </cell>
          <cell r="G920">
            <v>842</v>
          </cell>
          <cell r="H920">
            <v>43144</v>
          </cell>
          <cell r="I920" t="str">
            <v>AYUDA TEMPORAL A LAS FAMILIAS DE VARIAS LOCALIDADES, PARA RELOCALIZACIÓN DE HOGARES LOCALIZADOS EN ZONAS DE ALTO RIESGO NO MITIGABLE ID:2006-3-9153, LOCALIDAD:03 SANTA FE, UPZ:92 LA MACARENA, SECTOR:</v>
          </cell>
          <cell r="J920">
            <v>4868928</v>
          </cell>
          <cell r="K920">
            <v>0</v>
          </cell>
          <cell r="L920">
            <v>4868928</v>
          </cell>
          <cell r="M920">
            <v>1217232</v>
          </cell>
          <cell r="N920">
            <v>3651696</v>
          </cell>
        </row>
        <row r="921">
          <cell r="A921">
            <v>395</v>
          </cell>
          <cell r="B921">
            <v>1287</v>
          </cell>
          <cell r="C921">
            <v>43144</v>
          </cell>
          <cell r="D921" t="str">
            <v>SANDRA BIBIANA GONZALEZ SABOGAL</v>
          </cell>
          <cell r="E921">
            <v>31</v>
          </cell>
          <cell r="F921" t="str">
            <v>RESOLUCION</v>
          </cell>
          <cell r="G921">
            <v>843</v>
          </cell>
          <cell r="H921">
            <v>43144</v>
          </cell>
          <cell r="I921" t="str">
            <v>AYUDA TEMPORAL A LAS FAMILIAS DE VARIAS LOCALIDADES, PARA RELOCALIZACIÓN DE HOGARES LOCALIZADOS EN ZONAS DE ALTO RIESGO NO MITIGABLE ID:2006-4-8696, LOCALIDAD:04 SAN CRISTÓBAL, UPZ:50 LA GLORIA, SECTOR:</v>
          </cell>
          <cell r="J921">
            <v>4687452</v>
          </cell>
          <cell r="K921">
            <v>0</v>
          </cell>
          <cell r="L921">
            <v>4687452</v>
          </cell>
          <cell r="M921">
            <v>1171863</v>
          </cell>
          <cell r="N921">
            <v>3515589</v>
          </cell>
        </row>
        <row r="922">
          <cell r="A922">
            <v>395</v>
          </cell>
          <cell r="B922">
            <v>1288</v>
          </cell>
          <cell r="C922">
            <v>43144</v>
          </cell>
          <cell r="D922" t="str">
            <v>FRANCELY  MURRILLO LARROTTA</v>
          </cell>
          <cell r="E922">
            <v>31</v>
          </cell>
          <cell r="F922" t="str">
            <v>RESOLUCION</v>
          </cell>
          <cell r="G922">
            <v>844</v>
          </cell>
          <cell r="H922">
            <v>43144</v>
          </cell>
          <cell r="I922" t="str">
            <v>AYUDA TEMPORAL A LAS FAMILIAS DE VARIAS LOCALIDADES, PARA RELOCALIZACIÓN DE HOGARES LOCALIZADOS EN ZONAS DE ALTO RIESGO NO MITIGABLE ID:2012-19-13778, LOCALIDAD:19 CIUDAD BOLÍVAR, UPZ:67 LUCERO, SECTOR:</v>
          </cell>
          <cell r="J922">
            <v>2343726</v>
          </cell>
          <cell r="K922">
            <v>0</v>
          </cell>
          <cell r="L922">
            <v>2343726</v>
          </cell>
          <cell r="M922">
            <v>781242</v>
          </cell>
          <cell r="N922">
            <v>1562484</v>
          </cell>
        </row>
        <row r="923">
          <cell r="A923">
            <v>395</v>
          </cell>
          <cell r="B923">
            <v>1289</v>
          </cell>
          <cell r="C923">
            <v>43144</v>
          </cell>
          <cell r="D923" t="str">
            <v>JOSE JESUS NUÑEZ</v>
          </cell>
          <cell r="E923">
            <v>31</v>
          </cell>
          <cell r="F923" t="str">
            <v>RESOLUCION</v>
          </cell>
          <cell r="G923">
            <v>845</v>
          </cell>
          <cell r="H923">
            <v>43144</v>
          </cell>
          <cell r="I923" t="str">
            <v>AYUDA TEMPORAL A LAS FAMILIAS DE VARIAS LOCALIDADES, PARA RELOCALIZACIÓN DE HOGARES LOCALIZADOS EN ZONAS DE ALTO RIESGO NO MITIGABLE ID:2012-ALES-260, LOCALIDAD:19 CIUDAD BOLÍVAR, UPZ:69 ISMAEL PERDOMO, SECTOR:ALTOS DE LA ESTANCIA</v>
          </cell>
          <cell r="J923">
            <v>5304312</v>
          </cell>
          <cell r="K923">
            <v>0</v>
          </cell>
          <cell r="L923">
            <v>5304312</v>
          </cell>
          <cell r="M923">
            <v>1326078</v>
          </cell>
          <cell r="N923">
            <v>3978234</v>
          </cell>
        </row>
        <row r="924">
          <cell r="A924">
            <v>395</v>
          </cell>
          <cell r="B924">
            <v>1290</v>
          </cell>
          <cell r="C924">
            <v>43144</v>
          </cell>
          <cell r="D924" t="str">
            <v>JOSE DE LOS SANTOS RIOS SALGADO</v>
          </cell>
          <cell r="E924">
            <v>31</v>
          </cell>
          <cell r="F924" t="str">
            <v>RESOLUCION</v>
          </cell>
          <cell r="G924">
            <v>846</v>
          </cell>
          <cell r="H924">
            <v>43144</v>
          </cell>
          <cell r="I924" t="str">
            <v>AYUDA TEMPORAL A LAS FAMILIAS DE VARIAS LOCALIDADES, PARA RELOCALIZACIÓN DE HOGARES LOCALIZADOS EN ZONAS DE ALTO RIESGO NO MITIGABLE ID:2012-ALES-261, LOCALIDAD:19 CIUDAD BOLÍVAR, UPZ:69 ISMAEL PERDOMO, SECTOR:ALTOS DE LA ESTANCIA</v>
          </cell>
          <cell r="J924">
            <v>3247524</v>
          </cell>
          <cell r="K924">
            <v>0</v>
          </cell>
          <cell r="L924">
            <v>3247524</v>
          </cell>
          <cell r="M924">
            <v>1623762</v>
          </cell>
          <cell r="N924">
            <v>1623762</v>
          </cell>
        </row>
        <row r="925">
          <cell r="A925">
            <v>395</v>
          </cell>
          <cell r="B925">
            <v>1291</v>
          </cell>
          <cell r="C925">
            <v>43144</v>
          </cell>
          <cell r="D925" t="str">
            <v>JHON FLAVIO MORALES GUARNIZO</v>
          </cell>
          <cell r="E925">
            <v>31</v>
          </cell>
          <cell r="F925" t="str">
            <v>RESOLUCION</v>
          </cell>
          <cell r="G925">
            <v>817</v>
          </cell>
          <cell r="H925">
            <v>43144</v>
          </cell>
          <cell r="I925" t="str">
            <v>AYUDA TEMPORAL A LAS FAMILIAS DE VARIAS LOCALIDADES, PARA RELOCALIZACIÓN DE HOGARES LOCALIZADOS EN ZONAS DE ALTO RIESGO NO MITIGABLE ID:2017-19-15043, LOCALIDAD:19 CIUDAD BOLÍVAR, UPZ:67 EL LUCERO, SECTOR:BELLA FLOR</v>
          </cell>
          <cell r="J925">
            <v>3098412</v>
          </cell>
          <cell r="K925">
            <v>0</v>
          </cell>
          <cell r="L925">
            <v>3098412</v>
          </cell>
          <cell r="M925">
            <v>1549206</v>
          </cell>
          <cell r="N925">
            <v>1549206</v>
          </cell>
        </row>
        <row r="926">
          <cell r="A926">
            <v>395</v>
          </cell>
          <cell r="B926">
            <v>1292</v>
          </cell>
          <cell r="C926">
            <v>43144</v>
          </cell>
          <cell r="D926" t="str">
            <v>ROBERTO DE JESUS URREA ATEHORTUA</v>
          </cell>
          <cell r="E926">
            <v>31</v>
          </cell>
          <cell r="F926" t="str">
            <v>RESOLUCION</v>
          </cell>
          <cell r="G926">
            <v>825</v>
          </cell>
          <cell r="H926">
            <v>43144</v>
          </cell>
          <cell r="I926" t="str">
            <v>AYUDA TEMPORAL A LAS FAMILIAS DE VARIAS LOCALIDADES, PARA RELOCALIZACIÓN DE HOGARES LOCALIZADOS EN ZONAS DE ALTO RIESGO NO MITIGABLE ID:2012-19-13808, LOCALIDAD:19 CIUDAD BOLÍVAR, UPZ:67 LUCERO, SECTOR:</v>
          </cell>
          <cell r="J926">
            <v>5721420</v>
          </cell>
          <cell r="K926">
            <v>0</v>
          </cell>
          <cell r="L926">
            <v>5721420</v>
          </cell>
          <cell r="M926">
            <v>1430355</v>
          </cell>
          <cell r="N926">
            <v>4291065</v>
          </cell>
        </row>
        <row r="927">
          <cell r="A927">
            <v>395</v>
          </cell>
          <cell r="B927">
            <v>1293</v>
          </cell>
          <cell r="C927">
            <v>43144</v>
          </cell>
          <cell r="D927" t="str">
            <v>BERNARDA  MATEUS</v>
          </cell>
          <cell r="E927">
            <v>31</v>
          </cell>
          <cell r="F927" t="str">
            <v>RESOLUCION</v>
          </cell>
          <cell r="G927">
            <v>999</v>
          </cell>
          <cell r="H927">
            <v>43144</v>
          </cell>
          <cell r="I927" t="str">
            <v>AYUDA TEMPORAL A LAS FAMILIAS DE VARIAS LOCALIDADES, PARA RELOCALIZACIÓN DE HOGARES LOCALIZADOS EN ZONAS DE ALTO RIESGO NO MITIGABLE ID:2015-OTR-01369, LOCALIDAD:11 SUBA, UPZ:71 TIBABUYES, SECTOR:GAVILANES</v>
          </cell>
          <cell r="J927">
            <v>3983670</v>
          </cell>
          <cell r="K927">
            <v>0</v>
          </cell>
          <cell r="L927">
            <v>3983670</v>
          </cell>
          <cell r="M927">
            <v>1327890</v>
          </cell>
          <cell r="N927">
            <v>2655780</v>
          </cell>
        </row>
        <row r="928">
          <cell r="A928">
            <v>395</v>
          </cell>
          <cell r="B928">
            <v>1294</v>
          </cell>
          <cell r="C928">
            <v>43144</v>
          </cell>
          <cell r="D928" t="str">
            <v>EDWIN ANGEL DUARTE GOMEZ</v>
          </cell>
          <cell r="E928">
            <v>31</v>
          </cell>
          <cell r="F928" t="str">
            <v>RESOLUCION</v>
          </cell>
          <cell r="G928">
            <v>998</v>
          </cell>
          <cell r="H928">
            <v>43144</v>
          </cell>
          <cell r="I928" t="str">
            <v>AYUDA TEMPORAL A LAS FAMILIAS DE VARIAS LOCALIDADES, PARA RELOCALIZACIÓN DE HOGARES LOCALIZADOS EN ZONAS DE ALTO RIESGO NO MITIGABLE ID:2013-Q21-00607, LOCALIDAD:19 CIUDAD BOLÍVAR, UPZ:67 LUCERO, SECTOR:BRAZO DERECHO DE LIMAS</v>
          </cell>
          <cell r="J928">
            <v>2706270</v>
          </cell>
          <cell r="K928">
            <v>0</v>
          </cell>
          <cell r="L928">
            <v>2706270</v>
          </cell>
          <cell r="M928">
            <v>902090</v>
          </cell>
          <cell r="N928">
            <v>1804180</v>
          </cell>
        </row>
        <row r="929">
          <cell r="A929">
            <v>395</v>
          </cell>
          <cell r="B929">
            <v>1295</v>
          </cell>
          <cell r="C929">
            <v>43144</v>
          </cell>
          <cell r="D929" t="str">
            <v>CAROLINA  GUZMAN ROMERO</v>
          </cell>
          <cell r="E929">
            <v>31</v>
          </cell>
          <cell r="F929" t="str">
            <v>RESOLUCION</v>
          </cell>
          <cell r="G929">
            <v>997</v>
          </cell>
          <cell r="H929">
            <v>43144</v>
          </cell>
          <cell r="I929" t="str">
            <v>AYUDA TEMPORAL A LAS FAMILIAS DE VARIAS LOCALIDADES, PARA RELOCALIZACIÓN DE HOGARES LOCALIZADOS EN ZONAS DE ALTO RIESGO NO MITIGABLE ID:2016-08-14921, LOCALIDAD:08 KENNEDY, UPZ:82 PATIO BONITO, SECTOR:PALMITAS</v>
          </cell>
          <cell r="J929">
            <v>1593468</v>
          </cell>
          <cell r="K929">
            <v>398367</v>
          </cell>
          <cell r="L929">
            <v>1195101</v>
          </cell>
          <cell r="M929">
            <v>1195101</v>
          </cell>
          <cell r="N929">
            <v>0</v>
          </cell>
        </row>
        <row r="930">
          <cell r="A930">
            <v>395</v>
          </cell>
          <cell r="B930">
            <v>1296</v>
          </cell>
          <cell r="C930">
            <v>43144</v>
          </cell>
          <cell r="D930" t="str">
            <v>PEDRO ANTONIO POSADA VILLAMIL</v>
          </cell>
          <cell r="E930">
            <v>31</v>
          </cell>
          <cell r="F930" t="str">
            <v>RESOLUCION</v>
          </cell>
          <cell r="G930">
            <v>996</v>
          </cell>
          <cell r="H930">
            <v>43144</v>
          </cell>
          <cell r="I930" t="str">
            <v>AYUDA TEMPORAL A LAS FAMILIAS DE VARIAS LOCALIDADES, PARA RELOCALIZACIÓN DE HOGARES LOCALIZADOS EN ZONAS DE ALTO RIESGO NO MITIGABLE ID:2015-D227-00049, LOCALIDAD:04 SAN CRISTÓBAL, UPZ:51 LOS LIBERTADORES, SECTOR:SANTA TERESITA</v>
          </cell>
          <cell r="J930">
            <v>4795154</v>
          </cell>
          <cell r="K930">
            <v>0</v>
          </cell>
          <cell r="L930">
            <v>4795154</v>
          </cell>
          <cell r="M930">
            <v>1475432</v>
          </cell>
          <cell r="N930">
            <v>3319722</v>
          </cell>
        </row>
        <row r="931">
          <cell r="A931">
            <v>395</v>
          </cell>
          <cell r="B931">
            <v>1297</v>
          </cell>
          <cell r="C931">
            <v>43144</v>
          </cell>
          <cell r="D931" t="str">
            <v>JUAN DE JESUS RUBIO NIETO</v>
          </cell>
          <cell r="E931">
            <v>31</v>
          </cell>
          <cell r="F931" t="str">
            <v>RESOLUCION</v>
          </cell>
          <cell r="G931">
            <v>990</v>
          </cell>
          <cell r="H931">
            <v>43144</v>
          </cell>
          <cell r="I931" t="str">
            <v>AYUDA TEMPORAL A LAS FAMILIAS DE VARIAS LOCALIDADES, PARA RELOCALIZACIÓN DE HOGARES LOCALIZADOS EN ZONAS DE ALTO RIESGO NO MITIGABLE ID:2011-19-13767, LOCALIDAD:19 CIUDAD BOLÍVAR, UPZ:67 LUCERO, SECTOR:</v>
          </cell>
          <cell r="J931">
            <v>6450353</v>
          </cell>
          <cell r="K931">
            <v>0</v>
          </cell>
          <cell r="L931">
            <v>6450353</v>
          </cell>
          <cell r="M931">
            <v>1984724</v>
          </cell>
          <cell r="N931">
            <v>4465629</v>
          </cell>
        </row>
        <row r="932">
          <cell r="A932">
            <v>395</v>
          </cell>
          <cell r="B932">
            <v>1298</v>
          </cell>
          <cell r="C932">
            <v>43144</v>
          </cell>
          <cell r="D932" t="str">
            <v>CLARA INES MARTINEZ</v>
          </cell>
          <cell r="E932">
            <v>31</v>
          </cell>
          <cell r="F932" t="str">
            <v>RESOLUCION</v>
          </cell>
          <cell r="G932">
            <v>995</v>
          </cell>
          <cell r="H932">
            <v>43144</v>
          </cell>
          <cell r="I932" t="str">
            <v>AYUDA TEMPORAL A LAS FAMILIAS DE VARIAS LOCALIDADES, PARA RELOCALIZACIÓN DE HOGARES LOCALIZADOS EN ZONAS DE ALTO RIESGO NO MITIGABLE ID:2013000015, LOCALIDAD:19 CIUDAD BOLÍVAR, UPZ:67 LUCERO, SECTOR:QUEBRADA CAÑO BAÚL</v>
          </cell>
          <cell r="J932">
            <v>2586000</v>
          </cell>
          <cell r="K932">
            <v>0</v>
          </cell>
          <cell r="L932">
            <v>2586000</v>
          </cell>
          <cell r="M932">
            <v>1293000</v>
          </cell>
          <cell r="N932">
            <v>1293000</v>
          </cell>
        </row>
        <row r="933">
          <cell r="A933">
            <v>395</v>
          </cell>
          <cell r="B933">
            <v>1299</v>
          </cell>
          <cell r="C933">
            <v>43144</v>
          </cell>
          <cell r="D933" t="str">
            <v>YANETH  LOPEZ MURCIA</v>
          </cell>
          <cell r="E933">
            <v>31</v>
          </cell>
          <cell r="F933" t="str">
            <v>RESOLUCION</v>
          </cell>
          <cell r="G933">
            <v>994</v>
          </cell>
          <cell r="H933">
            <v>43144</v>
          </cell>
          <cell r="I933" t="str">
            <v>AYUDA TEMPORAL A LAS FAMILIAS DE VARIAS LOCALIDADES, PARA RELOCALIZACIÓN DE HOGARES LOCALIZADOS EN ZONAS DE ALTO RIESGO NO MITIGABLE ID:2011-4-12698, LOCALIDAD:04 SAN CRISTÓBAL, UPZ:32 SAN BLAS</v>
          </cell>
          <cell r="J933">
            <v>5181132</v>
          </cell>
          <cell r="K933">
            <v>0</v>
          </cell>
          <cell r="L933">
            <v>5181132</v>
          </cell>
          <cell r="M933">
            <v>1295283</v>
          </cell>
          <cell r="N933">
            <v>3885849</v>
          </cell>
        </row>
        <row r="934">
          <cell r="A934">
            <v>395</v>
          </cell>
          <cell r="B934">
            <v>1300</v>
          </cell>
          <cell r="C934">
            <v>43144</v>
          </cell>
          <cell r="D934" t="str">
            <v>MARIA ELENA NIEVES MARTINEZ TOVAR</v>
          </cell>
          <cell r="E934">
            <v>31</v>
          </cell>
          <cell r="F934" t="str">
            <v>RESOLUCION</v>
          </cell>
          <cell r="G934">
            <v>989</v>
          </cell>
          <cell r="H934">
            <v>43144</v>
          </cell>
          <cell r="I934" t="str">
            <v>AYUDA TEMPORAL A LAS FAMILIAS DE VARIAS LOCALIDADES, PARA RELOCALIZACIÓN DE HOGARES LOCALIZADOS EN ZONAS DE ALTO RIESGO NO MITIGABLE ID:2010-19-11687, LOCALIDAD:19 CIUDAD BOLÍVAR, UPZ:69 ISMAEL PERDOMO, SECTOR:OLA INVERNAL 2010 FOPAE</v>
          </cell>
          <cell r="J934">
            <v>2358570</v>
          </cell>
          <cell r="K934">
            <v>0</v>
          </cell>
          <cell r="L934">
            <v>2358570</v>
          </cell>
          <cell r="M934">
            <v>1179285</v>
          </cell>
          <cell r="N934">
            <v>1179285</v>
          </cell>
        </row>
        <row r="935">
          <cell r="A935">
            <v>395</v>
          </cell>
          <cell r="B935">
            <v>1301</v>
          </cell>
          <cell r="C935">
            <v>43144</v>
          </cell>
          <cell r="D935" t="str">
            <v>LINA MARIA MALPICA FUENTES</v>
          </cell>
          <cell r="E935">
            <v>31</v>
          </cell>
          <cell r="F935" t="str">
            <v>RESOLUCION</v>
          </cell>
          <cell r="G935">
            <v>1008</v>
          </cell>
          <cell r="H935">
            <v>43144</v>
          </cell>
          <cell r="I935" t="str">
            <v>AYUDA TEMPORAL A LAS FAMILIAS DE VARIAS LOCALIDADES, PARA RELOCALIZACIÓN DE HOGARES LOCALIZADOS EN ZONAS DE ALTO RIESGO NO MITIGABLE ID:2013-Q04-00309, LOCALIDAD:04 SAN CRISTÓBAL, UPZ:51 LOS LIBERTADORES, SECTOR:QUEBRADA VEREJONES</v>
          </cell>
          <cell r="J935">
            <v>5285280</v>
          </cell>
          <cell r="K935">
            <v>0</v>
          </cell>
          <cell r="L935">
            <v>5285280</v>
          </cell>
          <cell r="M935">
            <v>1626240</v>
          </cell>
          <cell r="N935">
            <v>3659040</v>
          </cell>
        </row>
        <row r="936">
          <cell r="A936">
            <v>395</v>
          </cell>
          <cell r="B936">
            <v>1302</v>
          </cell>
          <cell r="C936">
            <v>43144</v>
          </cell>
          <cell r="D936" t="str">
            <v>RAUL ALBERTO CERON LOPEZ</v>
          </cell>
          <cell r="E936">
            <v>31</v>
          </cell>
          <cell r="F936" t="str">
            <v>RESOLUCION</v>
          </cell>
          <cell r="G936">
            <v>993</v>
          </cell>
          <cell r="H936">
            <v>43144</v>
          </cell>
          <cell r="I936" t="str">
            <v>AYUDA TEMPORAL A LAS FAMILIAS DE VARIAS LOCALIDADES, PARA RELOCALIZACIÓN DE HOGARES LOCALIZADOS EN ZONAS DE ALTO RIESGO NO MITIGABLE ID:2013-Q04-00580, LOCALIDAD:19 CIUDAD BOLÍVAR, UPZ:67 LUCERO, SECTOR:PEÑA COLORADA</v>
          </cell>
          <cell r="J936">
            <v>5031235</v>
          </cell>
          <cell r="K936">
            <v>0</v>
          </cell>
          <cell r="L936">
            <v>5031235</v>
          </cell>
          <cell r="M936">
            <v>1372155</v>
          </cell>
          <cell r="N936">
            <v>3659080</v>
          </cell>
        </row>
        <row r="937">
          <cell r="A937">
            <v>395</v>
          </cell>
          <cell r="B937">
            <v>1303</v>
          </cell>
          <cell r="C937">
            <v>43144</v>
          </cell>
          <cell r="D937" t="str">
            <v>KATHERINE PAOLA DUARTE BENITEZ</v>
          </cell>
          <cell r="E937">
            <v>31</v>
          </cell>
          <cell r="F937" t="str">
            <v>RESOLUCION</v>
          </cell>
          <cell r="G937">
            <v>992</v>
          </cell>
          <cell r="H937">
            <v>43144</v>
          </cell>
          <cell r="I937" t="str">
            <v>AYUDA TEMPORAL A LAS FAMILIAS DE VARIAS LOCALIDADES, PARA RELOCALIZACIÓN DE HOGARES LOCALIZADOS EN ZONAS DE ALTO RIESGO NO MITIGABLE ID:2016-04-14918, LOCALIDAD:04 SAN CRISTÓBAL, UPZ:51 LOS LIBERTADORES, SECTOR:SANTA TERESITA</v>
          </cell>
          <cell r="J937">
            <v>5754192</v>
          </cell>
          <cell r="K937">
            <v>0</v>
          </cell>
          <cell r="L937">
            <v>5754192</v>
          </cell>
          <cell r="M937">
            <v>1438548</v>
          </cell>
          <cell r="N937">
            <v>4315644</v>
          </cell>
        </row>
        <row r="938">
          <cell r="A938">
            <v>395</v>
          </cell>
          <cell r="B938">
            <v>1304</v>
          </cell>
          <cell r="C938">
            <v>43144</v>
          </cell>
          <cell r="D938" t="str">
            <v>JORGE ANDRES CANTOR PINZON</v>
          </cell>
          <cell r="E938">
            <v>31</v>
          </cell>
          <cell r="F938" t="str">
            <v>RESOLUCION</v>
          </cell>
          <cell r="G938">
            <v>1007</v>
          </cell>
          <cell r="H938">
            <v>43144</v>
          </cell>
          <cell r="I938" t="str">
            <v>AYUDA TEMPORAL A LAS FAMILIAS DE VARIAS LOCALIDADES, PARA RELOCALIZACIÓN DE HOGARES LOCALIZADOS EN ZONAS DE ALTO RIESGO NO MITIGABLE ID:2013000265, LOCALIDAD:04 SAN CRISTÓBAL, UPZ:51 LOS LIBERTADORES, SECTOR:QUEBRADA VEREJONES</v>
          </cell>
          <cell r="J938">
            <v>5110235</v>
          </cell>
          <cell r="K938">
            <v>0</v>
          </cell>
          <cell r="L938">
            <v>5110235</v>
          </cell>
          <cell r="M938">
            <v>1179285</v>
          </cell>
          <cell r="N938">
            <v>3930950</v>
          </cell>
        </row>
        <row r="939">
          <cell r="A939">
            <v>395</v>
          </cell>
          <cell r="B939">
            <v>1305</v>
          </cell>
          <cell r="C939">
            <v>43144</v>
          </cell>
          <cell r="D939" t="str">
            <v>LUIS EDUARDO GARCIA MORENO</v>
          </cell>
          <cell r="E939">
            <v>31</v>
          </cell>
          <cell r="F939" t="str">
            <v>RESOLUCION</v>
          </cell>
          <cell r="G939">
            <v>988</v>
          </cell>
          <cell r="H939">
            <v>43144</v>
          </cell>
          <cell r="I939" t="str">
            <v>AYUDA TEMPORAL A LAS FAMILIAS DE VARIAS LOCALIDADES, PARA RELOCALIZACIÓN DE HOGARES LOCALIZADOS EN ZONAS DE ALTO RIESGO NO MITIGABLE ID:2013-Q07-00024, LOCALIDAD:19 CIUDAD BOLÍVAR, UPZ:67 LUCERO, SECTOR:ZANJÓN DEL AHORCADO</v>
          </cell>
          <cell r="J939">
            <v>3102546</v>
          </cell>
          <cell r="K939">
            <v>0</v>
          </cell>
          <cell r="L939">
            <v>3102546</v>
          </cell>
          <cell r="M939">
            <v>1551273</v>
          </cell>
          <cell r="N939">
            <v>1551273</v>
          </cell>
        </row>
        <row r="940">
          <cell r="A940">
            <v>395</v>
          </cell>
          <cell r="B940">
            <v>1306</v>
          </cell>
          <cell r="C940">
            <v>43144</v>
          </cell>
          <cell r="D940" t="str">
            <v>ANDRES  TURRIAGO FORERO</v>
          </cell>
          <cell r="E940">
            <v>31</v>
          </cell>
          <cell r="F940" t="str">
            <v>RESOLUCION</v>
          </cell>
          <cell r="G940">
            <v>991</v>
          </cell>
          <cell r="H940">
            <v>43144</v>
          </cell>
          <cell r="I940" t="str">
            <v>AYUDA TEMPORAL A LAS FAMILIAS DE VARIAS LOCALIDADES, PARA RELOCALIZACIÓN DE HOGARES LOCALIZADOS EN ZONAS DE ALTO RIESGO NO MITIGABLE ID:2012-T314-07, LOCALIDAD:04 SAN CRISTÓBAL, UPZ:50 LA GLORIA</v>
          </cell>
          <cell r="J940">
            <v>2435382</v>
          </cell>
          <cell r="K940">
            <v>0</v>
          </cell>
          <cell r="L940">
            <v>2435382</v>
          </cell>
          <cell r="M940">
            <v>1217691</v>
          </cell>
          <cell r="N940">
            <v>1217691</v>
          </cell>
        </row>
        <row r="941">
          <cell r="A941">
            <v>395</v>
          </cell>
          <cell r="B941">
            <v>1307</v>
          </cell>
          <cell r="C941">
            <v>43144</v>
          </cell>
          <cell r="D941" t="str">
            <v>ANASTASIO  RIVERA RIVERA</v>
          </cell>
          <cell r="E941">
            <v>31</v>
          </cell>
          <cell r="F941" t="str">
            <v>RESOLUCION</v>
          </cell>
          <cell r="G941">
            <v>1006</v>
          </cell>
          <cell r="H941">
            <v>43144</v>
          </cell>
          <cell r="I941" t="str">
            <v>AYUDA TEMPORAL A LAS FAMILIAS DE VARIAS LOCALIDADES, PARA RELOCALIZACIÓN DE HOGARES LOCALIZADOS EN ZONAS DE ALTO RIESGO NO MITIGABLE ID:2015-W166-402, LOCALIDAD:19 CIUDAD BOLÍVAR, UPZ:67 LUCERO, SECTOR:UITOTO</v>
          </cell>
          <cell r="J941">
            <v>7113432</v>
          </cell>
          <cell r="K941">
            <v>0</v>
          </cell>
          <cell r="L941">
            <v>7113432</v>
          </cell>
          <cell r="M941">
            <v>1778358</v>
          </cell>
          <cell r="N941">
            <v>5335074</v>
          </cell>
        </row>
        <row r="942">
          <cell r="A942">
            <v>395</v>
          </cell>
          <cell r="B942">
            <v>1308</v>
          </cell>
          <cell r="C942">
            <v>43144</v>
          </cell>
          <cell r="D942" t="str">
            <v>JOSE SIGIFREDO CASTELLANOS MONTILLA</v>
          </cell>
          <cell r="E942">
            <v>31</v>
          </cell>
          <cell r="F942" t="str">
            <v>RESOLUCION</v>
          </cell>
          <cell r="G942">
            <v>1005</v>
          </cell>
          <cell r="H942">
            <v>43144</v>
          </cell>
          <cell r="I942" t="str">
            <v>AYUDA TEMPORAL A LAS FAMILIAS DE VARIAS LOCALIDADES, PARA RELOCALIZACIÓN DE HOGARES LOCALIZADOS EN ZONAS DE ALTO RIESGO NO MITIGABLE ID:2010-19-11685, LOCALIDAD:19 CIUDAD BOLÍVAR, UPZ:69 ISMAEL PERDOMO, SECTOR:OLA INVERNAL 2010 FOPAE</v>
          </cell>
          <cell r="J942">
            <v>3098410</v>
          </cell>
          <cell r="K942">
            <v>0</v>
          </cell>
          <cell r="L942">
            <v>3098410</v>
          </cell>
          <cell r="M942">
            <v>1770520</v>
          </cell>
          <cell r="N942">
            <v>1327890</v>
          </cell>
        </row>
        <row r="943">
          <cell r="A943">
            <v>395</v>
          </cell>
          <cell r="B943">
            <v>1309</v>
          </cell>
          <cell r="C943">
            <v>43144</v>
          </cell>
          <cell r="D943" t="str">
            <v>REGINALDO  PIZARIO CHAMAPURO</v>
          </cell>
          <cell r="E943">
            <v>31</v>
          </cell>
          <cell r="F943" t="str">
            <v>RESOLUCION</v>
          </cell>
          <cell r="G943">
            <v>1004</v>
          </cell>
          <cell r="H943">
            <v>43144</v>
          </cell>
          <cell r="I943" t="str">
            <v>AYUDA TEMPORAL A LAS FAMILIAS DE VARIAS LOCALIDADES, PARA RELOCALIZACIÓN DE HOGARES LOCALIZADOS EN ZONAS DE ALTO RIESGO NO MITIGABLE ID:2014-W166-003, LOCALIDAD:19 CIUDAD BOLÍVAR, UPZ:68 EL TESORO, SECTOR:WOUNAAN</v>
          </cell>
          <cell r="J943">
            <v>2360696</v>
          </cell>
          <cell r="K943">
            <v>590174</v>
          </cell>
          <cell r="L943">
            <v>1770522</v>
          </cell>
          <cell r="M943">
            <v>1770522</v>
          </cell>
          <cell r="N943">
            <v>0</v>
          </cell>
        </row>
        <row r="944">
          <cell r="A944">
            <v>395</v>
          </cell>
          <cell r="B944">
            <v>1310</v>
          </cell>
          <cell r="C944">
            <v>43144</v>
          </cell>
          <cell r="D944" t="str">
            <v>BLANCA EDITH RINCON ROJAS</v>
          </cell>
          <cell r="E944">
            <v>31</v>
          </cell>
          <cell r="F944" t="str">
            <v>RESOLUCION</v>
          </cell>
          <cell r="G944">
            <v>1003</v>
          </cell>
          <cell r="H944">
            <v>43144</v>
          </cell>
          <cell r="I944" t="str">
            <v>AYUDA TEMPORAL A LAS FAMILIAS DE VARIAS LOCALIDADES, PARA RELOCALIZACIÓN DE HOGARES LOCALIZADOS EN ZONAS DE ALTO RIESGO NO MITIGABLE ID:2016-08-14787, LOCALIDAD:08 KENNEDY, UPZ:82 PATIO BONITO, SECTOR:PALMITAS</v>
          </cell>
          <cell r="J944">
            <v>4057438</v>
          </cell>
          <cell r="K944">
            <v>0</v>
          </cell>
          <cell r="L944">
            <v>4057438</v>
          </cell>
          <cell r="M944">
            <v>1106574</v>
          </cell>
          <cell r="N944">
            <v>2950864</v>
          </cell>
        </row>
        <row r="945">
          <cell r="A945">
            <v>395</v>
          </cell>
          <cell r="B945">
            <v>1311</v>
          </cell>
          <cell r="C945">
            <v>43144</v>
          </cell>
          <cell r="D945" t="str">
            <v>NOEL  TORRES BECERRA</v>
          </cell>
          <cell r="E945">
            <v>31</v>
          </cell>
          <cell r="F945" t="str">
            <v>RESOLUCION</v>
          </cell>
          <cell r="G945">
            <v>987</v>
          </cell>
          <cell r="H945">
            <v>43144</v>
          </cell>
          <cell r="I945" t="str">
            <v>AYUDA TEMPORAL A LAS FAMILIAS DE VARIAS LOCALIDADES, PARA RELOCALIZACIÓN DE HOGARES LOCALIZADOS EN ZONAS DE ALTO RIESGO NO MITIGABLE ID:2011-20-13433, LOCALIDAD:20 SUMAPAZ, UPZ:5 UPR RIO SUMAPAZ, SECTOR:</v>
          </cell>
          <cell r="J945">
            <v>9302605</v>
          </cell>
          <cell r="K945">
            <v>0</v>
          </cell>
          <cell r="L945">
            <v>9302605</v>
          </cell>
          <cell r="M945">
            <v>2862340</v>
          </cell>
          <cell r="N945">
            <v>6440265</v>
          </cell>
        </row>
        <row r="946">
          <cell r="A946">
            <v>395</v>
          </cell>
          <cell r="B946">
            <v>1312</v>
          </cell>
          <cell r="C946">
            <v>43144</v>
          </cell>
          <cell r="D946" t="str">
            <v>ROSA MARIA MONTENEGRO DE SAYAGO</v>
          </cell>
          <cell r="E946">
            <v>31</v>
          </cell>
          <cell r="F946" t="str">
            <v>RESOLUCION</v>
          </cell>
          <cell r="G946">
            <v>986</v>
          </cell>
          <cell r="H946">
            <v>43144</v>
          </cell>
          <cell r="I946" t="str">
            <v>AYUDA TEMPORAL A LAS FAMILIAS DE VARIAS LOCALIDADES, PARA RELOCALIZACIÓN DE HOGARES LOCALIZADOS EN ZONAS DE ALTO RIESGO NO MITIGABLE ID:2011-5-13264, LOCALIDAD:05 USME, UPZ:56 DANUBIO, SECTOR:</v>
          </cell>
          <cell r="J946">
            <v>3216354</v>
          </cell>
          <cell r="K946">
            <v>0</v>
          </cell>
          <cell r="L946">
            <v>3216354</v>
          </cell>
          <cell r="M946">
            <v>1608177</v>
          </cell>
          <cell r="N946">
            <v>1608177</v>
          </cell>
        </row>
        <row r="947">
          <cell r="A947">
            <v>395</v>
          </cell>
          <cell r="B947">
            <v>1313</v>
          </cell>
          <cell r="C947">
            <v>43144</v>
          </cell>
          <cell r="D947" t="str">
            <v>ADOLFO  DAZA CAMARGO</v>
          </cell>
          <cell r="E947">
            <v>31</v>
          </cell>
          <cell r="F947" t="str">
            <v>RESOLUCION</v>
          </cell>
          <cell r="G947">
            <v>985</v>
          </cell>
          <cell r="H947">
            <v>43144</v>
          </cell>
          <cell r="I947" t="str">
            <v>AYUDA TEMPORAL A LAS FAMILIAS DE VARIAS LOCALIDADES, PARA RELOCALIZACIÓN DE HOGARES LOCALIZADOS EN ZONAS DE ALTO RIESGO NO MITIGABLE ID:2013-Q21-00671, LOCALIDAD:19 CIUDAD BOLÍVAR, UPZ:67 LUCERO, SECTOR:BRAZO DERECHO DE LIMAS</v>
          </cell>
          <cell r="J947">
            <v>2582006</v>
          </cell>
          <cell r="K947">
            <v>0</v>
          </cell>
          <cell r="L947">
            <v>2582006</v>
          </cell>
          <cell r="M947">
            <v>1475432</v>
          </cell>
          <cell r="N947">
            <v>1106574</v>
          </cell>
        </row>
        <row r="948">
          <cell r="A948">
            <v>395</v>
          </cell>
          <cell r="B948">
            <v>1314</v>
          </cell>
          <cell r="C948">
            <v>43144</v>
          </cell>
          <cell r="D948" t="str">
            <v>TOMAS AUGUSTO QUIZA ALVAREZ</v>
          </cell>
          <cell r="E948">
            <v>31</v>
          </cell>
          <cell r="F948" t="str">
            <v>RESOLUCION</v>
          </cell>
          <cell r="G948">
            <v>984</v>
          </cell>
          <cell r="H948">
            <v>43144</v>
          </cell>
          <cell r="I948" t="str">
            <v>AYUDA TEMPORAL A LAS FAMILIAS DE VARIAS LOCALIDADES, PARA RELOCALIZACIÓN DE HOGARES LOCALIZADOS EN ZONAS DE ALTO RIESGO NO MITIGABLE ID:2006-4-8838, LOCALIDAD:04 SAN CRISTÓBAL, UPZ:50 LA GLORIA, SECTOR:</v>
          </cell>
          <cell r="J948">
            <v>3275466</v>
          </cell>
          <cell r="K948">
            <v>0</v>
          </cell>
          <cell r="L948">
            <v>3275466</v>
          </cell>
          <cell r="M948">
            <v>1637733</v>
          </cell>
          <cell r="N948">
            <v>1637733</v>
          </cell>
        </row>
        <row r="949">
          <cell r="A949">
            <v>395</v>
          </cell>
          <cell r="B949">
            <v>1315</v>
          </cell>
          <cell r="C949">
            <v>43144</v>
          </cell>
          <cell r="D949" t="str">
            <v>JOSE VICENTE DUARTE GONZALEZ</v>
          </cell>
          <cell r="E949">
            <v>31</v>
          </cell>
          <cell r="F949" t="str">
            <v>RESOLUCION</v>
          </cell>
          <cell r="G949">
            <v>1009</v>
          </cell>
          <cell r="H949">
            <v>43144</v>
          </cell>
          <cell r="I949" t="str">
            <v>AYUDA TEMPORAL A LAS FAMILIAS DE VARIAS LOCALIDADES, PARA RELOCALIZACIÓN DE HOGARES LOCALIZADOS EN ZONAS DE ALTO RIESGO NO MITIGABLE ID:2010-19-12227, LOCALIDAD:19 CIUDAD BOLÍVAR, UPZ:67 LUCERO, SECTOR:LIMAS</v>
          </cell>
          <cell r="J949">
            <v>2582006</v>
          </cell>
          <cell r="K949">
            <v>0</v>
          </cell>
          <cell r="L949">
            <v>2582006</v>
          </cell>
          <cell r="M949">
            <v>1475432</v>
          </cell>
          <cell r="N949">
            <v>1106574</v>
          </cell>
        </row>
        <row r="950">
          <cell r="A950">
            <v>395</v>
          </cell>
          <cell r="B950">
            <v>1316</v>
          </cell>
          <cell r="C950">
            <v>43144</v>
          </cell>
          <cell r="D950" t="str">
            <v>HERMINSO  ALTURO PERDOMO</v>
          </cell>
          <cell r="E950">
            <v>31</v>
          </cell>
          <cell r="F950" t="str">
            <v>RESOLUCION</v>
          </cell>
          <cell r="G950">
            <v>1093</v>
          </cell>
          <cell r="H950">
            <v>43144</v>
          </cell>
          <cell r="I950" t="str">
            <v>AYUDA TEMPORAL A LAS FAMILIAS DE VARIAS LOCALIDADES, PARA RELOCALIZACIÓN DE HOGARES LOCALIZADOS EN ZONAS DE ALTO RIESGO NO MITIGABLE ID:2015-OTR-01375, LOCALIDAD:11 SUBA, UPZ:71 TIBABUYES, SECTOR:GAVILANES</v>
          </cell>
          <cell r="J950">
            <v>3209076</v>
          </cell>
          <cell r="K950">
            <v>0</v>
          </cell>
          <cell r="L950">
            <v>3209076</v>
          </cell>
          <cell r="M950">
            <v>1604538</v>
          </cell>
          <cell r="N950">
            <v>1604538</v>
          </cell>
        </row>
        <row r="951">
          <cell r="A951">
            <v>395</v>
          </cell>
          <cell r="B951">
            <v>1317</v>
          </cell>
          <cell r="C951">
            <v>43144</v>
          </cell>
          <cell r="D951" t="str">
            <v>GEIMAR ARLEY NIÑO SANCHEZ</v>
          </cell>
          <cell r="E951">
            <v>31</v>
          </cell>
          <cell r="F951" t="str">
            <v>RESOLUCION</v>
          </cell>
          <cell r="G951">
            <v>1092</v>
          </cell>
          <cell r="H951">
            <v>43144</v>
          </cell>
          <cell r="I951" t="str">
            <v>AYUDA TEMPORAL A LAS FAMILIAS DE VARIAS LOCALIDADES, PARA RELOCALIZACIÓN DE HOGARES LOCALIZADOS EN ZONAS DE ALTO RIESGO NO MITIGABLE ID:2014-Q03-01077, LOCALIDAD:19 CIUDAD BOLÍVAR, UPZ:66 SAN FRANCISCO, SECTOR:LIMAS</v>
          </cell>
          <cell r="J951">
            <v>2784006</v>
          </cell>
          <cell r="K951">
            <v>0</v>
          </cell>
          <cell r="L951">
            <v>2784006</v>
          </cell>
          <cell r="M951">
            <v>1392003</v>
          </cell>
          <cell r="N951">
            <v>1392003</v>
          </cell>
        </row>
        <row r="952">
          <cell r="A952">
            <v>395</v>
          </cell>
          <cell r="B952">
            <v>1318</v>
          </cell>
          <cell r="C952">
            <v>43144</v>
          </cell>
          <cell r="D952" t="str">
            <v>TEOFILO  CABEZON CARDENAS</v>
          </cell>
          <cell r="E952">
            <v>31</v>
          </cell>
          <cell r="F952" t="str">
            <v>RESOLUCION</v>
          </cell>
          <cell r="G952">
            <v>1091</v>
          </cell>
          <cell r="H952">
            <v>43144</v>
          </cell>
          <cell r="I952" t="str">
            <v>AYUDA TEMPORAL A LAS FAMILIAS DE VARIAS LOCALIDADES, PARA RELOCALIZACIÓN DE HOGARES LOCALIZADOS EN ZONAS DE ALTO RIESGO NO MITIGABLE ID:2014-W166-023, LOCALIDAD:19 CIUDAD BOLÍVAR, UPZ:68 EL TESORO, SECTOR:WOUNAAN</v>
          </cell>
          <cell r="J952">
            <v>7207200</v>
          </cell>
          <cell r="K952">
            <v>0</v>
          </cell>
          <cell r="L952">
            <v>7207200</v>
          </cell>
          <cell r="M952">
            <v>2217600</v>
          </cell>
          <cell r="N952">
            <v>4989600</v>
          </cell>
        </row>
        <row r="953">
          <cell r="A953">
            <v>395</v>
          </cell>
          <cell r="B953">
            <v>1319</v>
          </cell>
          <cell r="C953">
            <v>43144</v>
          </cell>
          <cell r="D953" t="str">
            <v>GILBERTO  FORERO</v>
          </cell>
          <cell r="E953">
            <v>31</v>
          </cell>
          <cell r="F953" t="str">
            <v>RESOLUCION</v>
          </cell>
          <cell r="G953">
            <v>983</v>
          </cell>
          <cell r="H953">
            <v>43144</v>
          </cell>
          <cell r="I953" t="str">
            <v>AYUDA TEMPORAL A LAS FAMILIAS DE VARIAS LOCALIDADES, PARA RELOCALIZACIÓN DE HOGARES LOCALIZADOS EN ZONAS DE ALTO RIESGO NO MITIGABLE ID:2012-ALES-190, LOCALIDAD:19 CIUDAD BOLÍVAR, UPZ:69 ISMAEL PERDOMO, SECTOR:ALTOS DE LA ESTANCIA</v>
          </cell>
          <cell r="J953">
            <v>2788569</v>
          </cell>
          <cell r="K953">
            <v>0</v>
          </cell>
          <cell r="L953">
            <v>2788569</v>
          </cell>
          <cell r="M953">
            <v>1593468</v>
          </cell>
          <cell r="N953">
            <v>1195101</v>
          </cell>
        </row>
        <row r="954">
          <cell r="A954">
            <v>395</v>
          </cell>
          <cell r="B954">
            <v>1320</v>
          </cell>
          <cell r="C954">
            <v>43144</v>
          </cell>
          <cell r="D954" t="str">
            <v>LEYDI YOHANA GARZON MARTINEZ</v>
          </cell>
          <cell r="E954">
            <v>31</v>
          </cell>
          <cell r="F954" t="str">
            <v>RESOLUCION</v>
          </cell>
          <cell r="G954">
            <v>1015</v>
          </cell>
          <cell r="H954">
            <v>43144</v>
          </cell>
          <cell r="I954" t="str">
            <v>AYUDA TEMPORAL A LAS FAMILIAS DE VARIAS LOCALIDADES, PARA RELOCALIZACIÓN DE HOGARES LOCALIZADOS EN ZONAS DE ALTO RIESGO NO MITIGABLE ID:2015-Q03-03625, LOCALIDAD:19 CIUDAD BOLÍVAR, UPZ:67 LUCERO, SECTOR:LIMAS</v>
          </cell>
          <cell r="J954">
            <v>4604880</v>
          </cell>
          <cell r="K954">
            <v>0</v>
          </cell>
          <cell r="L954">
            <v>4604880</v>
          </cell>
          <cell r="M954">
            <v>1381464</v>
          </cell>
          <cell r="N954">
            <v>3223416</v>
          </cell>
        </row>
        <row r="955">
          <cell r="A955">
            <v>395</v>
          </cell>
          <cell r="B955">
            <v>1321</v>
          </cell>
          <cell r="C955">
            <v>43144</v>
          </cell>
          <cell r="D955" t="str">
            <v>FABELICIA  BURGARA CHAUCARAMA</v>
          </cell>
          <cell r="E955">
            <v>31</v>
          </cell>
          <cell r="F955" t="str">
            <v>RESOLUCION</v>
          </cell>
          <cell r="G955">
            <v>1002</v>
          </cell>
          <cell r="H955">
            <v>43144</v>
          </cell>
          <cell r="I955" t="str">
            <v>AYUDA TEMPORAL A LAS FAMILIAS DE VARIAS LOCALIDADES, PARA RELOCALIZACIÓN DE HOGARES LOCALIZADOS EN ZONAS DE ALTO RIESGO NO MITIGABLE ID:2015-W166-438, LOCALIDAD:19 CIUDAD BOLÍVAR, UPZ:68 EL TESORO, SECTOR:WOUNAAN</v>
          </cell>
          <cell r="J955">
            <v>6491914</v>
          </cell>
          <cell r="K955">
            <v>0</v>
          </cell>
          <cell r="L955">
            <v>6491914</v>
          </cell>
          <cell r="M955">
            <v>590174</v>
          </cell>
          <cell r="N955">
            <v>5901740</v>
          </cell>
        </row>
        <row r="956">
          <cell r="A956">
            <v>395</v>
          </cell>
          <cell r="B956">
            <v>1322</v>
          </cell>
          <cell r="C956">
            <v>43144</v>
          </cell>
          <cell r="D956" t="str">
            <v>OLGA  CHIRIMIA GINGUIMIA</v>
          </cell>
          <cell r="E956">
            <v>31</v>
          </cell>
          <cell r="F956" t="str">
            <v>RESOLUCION</v>
          </cell>
          <cell r="G956">
            <v>1014</v>
          </cell>
          <cell r="H956">
            <v>43144</v>
          </cell>
          <cell r="I956" t="str">
            <v>AYUDA TEMPORAL A LAS FAMILIAS DE VARIAS LOCALIDADES, PARA RELOCALIZACIÓN DE HOGARES LOCALIZADOS EN ZONAS DE ALTO RIESGO NO MITIGABLE ID:2015-W166-204, LOCALIDAD:04 SAN CRISTÓBAL, UPZ:33 SOSIEGO, SECTOR:EPERARA</v>
          </cell>
          <cell r="J956">
            <v>5532880</v>
          </cell>
          <cell r="K956">
            <v>0</v>
          </cell>
          <cell r="L956">
            <v>5532880</v>
          </cell>
          <cell r="M956">
            <v>553288</v>
          </cell>
          <cell r="N956">
            <v>4979592</v>
          </cell>
        </row>
        <row r="957">
          <cell r="A957">
            <v>395</v>
          </cell>
          <cell r="B957">
            <v>1323</v>
          </cell>
          <cell r="C957">
            <v>43144</v>
          </cell>
          <cell r="D957" t="str">
            <v>JOSE RICARDO TANGARIFE GOMEZ</v>
          </cell>
          <cell r="E957">
            <v>31</v>
          </cell>
          <cell r="F957" t="str">
            <v>RESOLUCION</v>
          </cell>
          <cell r="G957">
            <v>982</v>
          </cell>
          <cell r="H957">
            <v>43144</v>
          </cell>
          <cell r="I957" t="str">
            <v>AYUDA TEMPORAL A LAS FAMILIAS DE VARIAS LOCALIDADES, PARA RELOCALIZACIÓN DE HOGARES LOCALIZADOS EN ZONAS DE ALTO RIESGO NO MITIGABLE ID:2015-D227-00054, LOCALIDAD:04 SAN CRISTÓBAL, UPZ:51 LOS LIBERTADORES, SECTOR:SANTA TERESITA</v>
          </cell>
          <cell r="J957">
            <v>4687452</v>
          </cell>
          <cell r="K957">
            <v>0</v>
          </cell>
          <cell r="L957">
            <v>4687452</v>
          </cell>
          <cell r="M957">
            <v>1171863</v>
          </cell>
          <cell r="N957">
            <v>3515589</v>
          </cell>
        </row>
        <row r="958">
          <cell r="A958">
            <v>395</v>
          </cell>
          <cell r="B958">
            <v>1324</v>
          </cell>
          <cell r="C958">
            <v>43144</v>
          </cell>
          <cell r="D958" t="str">
            <v>LAMINIA  ISMARE OPUA</v>
          </cell>
          <cell r="E958">
            <v>31</v>
          </cell>
          <cell r="F958" t="str">
            <v>RESOLUCION</v>
          </cell>
          <cell r="G958">
            <v>1013</v>
          </cell>
          <cell r="H958">
            <v>43144</v>
          </cell>
          <cell r="I958" t="str">
            <v>AYUDA TEMPORAL A LAS FAMILIAS DE VARIAS LOCALIDADES, PARA RELOCALIZACIÓN DE HOGARES LOCALIZADOS EN ZONAS DE ALTO RIESGO NO MITIGABLE ID:2014-W166-035, LOCALIDAD:19 CIUDAD BOLÍVAR, UPZ:67 LUCERO, SECTOR:WOUNAAN</v>
          </cell>
          <cell r="J958">
            <v>5901740</v>
          </cell>
          <cell r="K958">
            <v>0</v>
          </cell>
          <cell r="L958">
            <v>5901740</v>
          </cell>
          <cell r="M958">
            <v>590174</v>
          </cell>
          <cell r="N958">
            <v>5311566</v>
          </cell>
        </row>
        <row r="959">
          <cell r="A959">
            <v>395</v>
          </cell>
          <cell r="B959">
            <v>1325</v>
          </cell>
          <cell r="C959">
            <v>43144</v>
          </cell>
          <cell r="D959" t="str">
            <v>CLARA LILIA AREVALO</v>
          </cell>
          <cell r="E959">
            <v>31</v>
          </cell>
          <cell r="F959" t="str">
            <v>RESOLUCION</v>
          </cell>
          <cell r="G959">
            <v>1001</v>
          </cell>
          <cell r="H959">
            <v>43144</v>
          </cell>
          <cell r="I959" t="str">
            <v>AYUDA TEMPORAL A LAS FAMILIAS DE VARIAS LOCALIDADES, PARA RELOCALIZACIÓN DE HOGARES LOCALIZADOS EN ZONAS DE ALTO RIESGO NO MITIGABLE ID:2011-5-13260, LOCALIDAD:05 USME, UPZ:56 DANUBIO</v>
          </cell>
          <cell r="J959">
            <v>2531226</v>
          </cell>
          <cell r="K959">
            <v>0</v>
          </cell>
          <cell r="L959">
            <v>2531226</v>
          </cell>
          <cell r="M959">
            <v>1265613</v>
          </cell>
          <cell r="N959">
            <v>1265613</v>
          </cell>
        </row>
        <row r="960">
          <cell r="A960">
            <v>395</v>
          </cell>
          <cell r="B960">
            <v>1326</v>
          </cell>
          <cell r="C960">
            <v>43144</v>
          </cell>
          <cell r="D960" t="str">
            <v>MARIA  AYALA</v>
          </cell>
          <cell r="E960">
            <v>31</v>
          </cell>
          <cell r="F960" t="str">
            <v>RESOLUCION</v>
          </cell>
          <cell r="G960">
            <v>981</v>
          </cell>
          <cell r="H960">
            <v>43144</v>
          </cell>
          <cell r="I960" t="str">
            <v>AYUDA TEMPORAL A LAS FAMILIAS DE VARIAS LOCALIDADES, PARA RELOCALIZACIÓN DE HOGARES LOCALIZADOS EN ZONAS DE ALTO RIESGO NO MITIGABLE ID:2006-19-8520, LOCALIDAD:19 CIUDAD BOLÍVAR, UPZ:68 EL TESORO, SECTOR:QUEBRADA EL INFIERNO</v>
          </cell>
          <cell r="J960">
            <v>3088757</v>
          </cell>
          <cell r="K960">
            <v>0</v>
          </cell>
          <cell r="L960">
            <v>3088757</v>
          </cell>
          <cell r="M960">
            <v>1765004</v>
          </cell>
          <cell r="N960">
            <v>1323753</v>
          </cell>
        </row>
        <row r="961">
          <cell r="A961">
            <v>395</v>
          </cell>
          <cell r="B961">
            <v>1327</v>
          </cell>
          <cell r="C961">
            <v>43144</v>
          </cell>
          <cell r="D961" t="str">
            <v>YEISA AYCHELL RIVERA OLAYA</v>
          </cell>
          <cell r="E961">
            <v>31</v>
          </cell>
          <cell r="F961" t="str">
            <v>RESOLUCION</v>
          </cell>
          <cell r="G961">
            <v>1012</v>
          </cell>
          <cell r="H961">
            <v>43144</v>
          </cell>
          <cell r="I961" t="str">
            <v>AYUDA TEMPORAL A LAS FAMILIAS DE VARIAS LOCALIDADES, PARA RELOCALIZACIÓN DE HOGARES LOCALIZADOS EN ZONAS DE ALTO RIESGO NO MITIGABLE ID:2015-W166-403, LOCALIDAD:19 CIUDAD BOLÍVAR, UPZ:67 LUCERO, SECTOR:UITOTO</v>
          </cell>
          <cell r="J961">
            <v>5489556</v>
          </cell>
          <cell r="K961">
            <v>0</v>
          </cell>
          <cell r="L961">
            <v>5489556</v>
          </cell>
          <cell r="M961">
            <v>1829852</v>
          </cell>
          <cell r="N961">
            <v>3659704</v>
          </cell>
        </row>
        <row r="962">
          <cell r="A962">
            <v>395</v>
          </cell>
          <cell r="B962">
            <v>1328</v>
          </cell>
          <cell r="C962">
            <v>43144</v>
          </cell>
          <cell r="D962" t="str">
            <v>FLOR MARIA JAIME</v>
          </cell>
          <cell r="E962">
            <v>31</v>
          </cell>
          <cell r="F962" t="str">
            <v>RESOLUCION</v>
          </cell>
          <cell r="G962">
            <v>1011</v>
          </cell>
          <cell r="H962">
            <v>43144</v>
          </cell>
          <cell r="I962" t="str">
            <v>AYUDA TEMPORAL A LAS FAMILIAS DE VARIAS LOCALIDADES, PARA RELOCALIZACIÓN DE HOGARES LOCALIZADOS EN ZONAS DE ALTO RIESGO NO MITIGABLE ID:2013-Q09-00146, LOCALIDAD:19 CIUDAD BOLÍVAR, UPZ:67 LUCERO, SECTOR:QUEBRADA TROMPETA</v>
          </cell>
          <cell r="J962">
            <v>2213148</v>
          </cell>
          <cell r="K962">
            <v>0</v>
          </cell>
          <cell r="L962">
            <v>2213148</v>
          </cell>
          <cell r="M962">
            <v>1106574</v>
          </cell>
          <cell r="N962">
            <v>1106574</v>
          </cell>
        </row>
        <row r="963">
          <cell r="A963">
            <v>395</v>
          </cell>
          <cell r="B963">
            <v>1329</v>
          </cell>
          <cell r="C963">
            <v>43144</v>
          </cell>
          <cell r="D963" t="str">
            <v>YENIFER  AGUDELO GONZALEZ</v>
          </cell>
          <cell r="E963">
            <v>31</v>
          </cell>
          <cell r="F963" t="str">
            <v>RESOLUCION</v>
          </cell>
          <cell r="G963">
            <v>1000</v>
          </cell>
          <cell r="H963">
            <v>43144</v>
          </cell>
          <cell r="I963" t="str">
            <v>AYUDA TEMPORAL A LAS FAMILIAS DE VARIAS LOCALIDADES, PARA RELOCALIZACIÓN DE HOGARES LOCALIZADOS EN ZONAS DE ALTO RIESGO NO MITIGABLE ID:2011-19-13423, LOCALIDAD:19 CIUDAD BOLÍVAR, UPZ:69 ISMAEL PERDOMO.</v>
          </cell>
          <cell r="J963">
            <v>5812440</v>
          </cell>
          <cell r="K963">
            <v>0</v>
          </cell>
          <cell r="L963">
            <v>5812440</v>
          </cell>
          <cell r="M963">
            <v>1453110</v>
          </cell>
          <cell r="N963">
            <v>4359330</v>
          </cell>
        </row>
        <row r="964">
          <cell r="A964">
            <v>395</v>
          </cell>
          <cell r="B964">
            <v>1330</v>
          </cell>
          <cell r="C964">
            <v>43144</v>
          </cell>
          <cell r="D964" t="str">
            <v>MERY LILIA FURQUE VEGA</v>
          </cell>
          <cell r="E964">
            <v>31</v>
          </cell>
          <cell r="F964" t="str">
            <v>RESOLUCION</v>
          </cell>
          <cell r="G964">
            <v>1010</v>
          </cell>
          <cell r="H964">
            <v>43144</v>
          </cell>
          <cell r="I964" t="str">
            <v>AYUDA TEMPORAL A LAS FAMILIAS DE VARIAS LOCALIDADES, PARA RELOCALIZACIÓN DE HOGARES LOCALIZADOS EN ZONAS DE ALTO RIESGO NO MITIGABLE ID:2007-4-9376, LOCALIDAD:04 SAN CRISTÓBAL, UPZ:32 SAN BLAS</v>
          </cell>
          <cell r="J964">
            <v>3098410</v>
          </cell>
          <cell r="K964">
            <v>0</v>
          </cell>
          <cell r="L964">
            <v>3098410</v>
          </cell>
          <cell r="M964">
            <v>1770520</v>
          </cell>
          <cell r="N964">
            <v>1327890</v>
          </cell>
        </row>
        <row r="965">
          <cell r="A965">
            <v>595</v>
          </cell>
          <cell r="B965">
            <v>1331</v>
          </cell>
          <cell r="C965">
            <v>43144</v>
          </cell>
          <cell r="D965" t="str">
            <v>OMAIRA  SALCEDO ANGARITA</v>
          </cell>
          <cell r="E965">
            <v>31</v>
          </cell>
          <cell r="F965" t="str">
            <v>RESOLUCION</v>
          </cell>
          <cell r="G965">
            <v>1098</v>
          </cell>
          <cell r="H965">
            <v>43144</v>
          </cell>
          <cell r="I965" t="str">
            <v>Asignacion del instrumento financiero a las familias ocupantes del predio que hayan superado la fase de verificacion dentro  del marco del Decreto 457 de 2017. LOCALIDAD: KENNEDY; BARRIO: VEREDITAS; ID: 2017-8-383767</v>
          </cell>
          <cell r="J965">
            <v>54686940</v>
          </cell>
          <cell r="K965">
            <v>0</v>
          </cell>
          <cell r="L965">
            <v>54686940</v>
          </cell>
          <cell r="M965">
            <v>0</v>
          </cell>
          <cell r="N965">
            <v>54686940</v>
          </cell>
        </row>
        <row r="966">
          <cell r="A966">
            <v>397</v>
          </cell>
          <cell r="B966">
            <v>1332</v>
          </cell>
          <cell r="C966">
            <v>43144</v>
          </cell>
          <cell r="D966" t="str">
            <v>REYES ALFONSO LEYTON</v>
          </cell>
          <cell r="E966">
            <v>31</v>
          </cell>
          <cell r="F966" t="str">
            <v>RESOLUCION</v>
          </cell>
          <cell r="G966">
            <v>1102</v>
          </cell>
          <cell r="H966">
            <v>43144</v>
          </cell>
          <cell r="I966" t="str">
            <v>Asignacion del instrumento financiero a las familias ocupantes del predio que hayan superado la fase de verificacion dentro  del marco del Decreto 457 de 2017. LOCALIDAD: KENNEDY; BARRIO: VEREDITAS; ID: 2017-8-383690</v>
          </cell>
          <cell r="J966">
            <v>54686940</v>
          </cell>
          <cell r="K966">
            <v>0</v>
          </cell>
          <cell r="L966">
            <v>54686940</v>
          </cell>
          <cell r="M966">
            <v>54686940</v>
          </cell>
          <cell r="N966">
            <v>0</v>
          </cell>
        </row>
        <row r="967">
          <cell r="A967">
            <v>538</v>
          </cell>
          <cell r="B967">
            <v>1333</v>
          </cell>
          <cell r="C967">
            <v>43144</v>
          </cell>
          <cell r="D967" t="str">
            <v>JUAN DAVID LOPEZ PENAGOS</v>
          </cell>
          <cell r="E967">
            <v>31</v>
          </cell>
          <cell r="F967" t="str">
            <v>RESOLUCION</v>
          </cell>
          <cell r="G967">
            <v>762</v>
          </cell>
          <cell r="H967">
            <v>43144</v>
          </cell>
          <cell r="I967" t="str">
            <v>Asignacion del instrumento financiero a las familias ocupantes del predio que hayan superado la fase de verificacion dentro  del marco del Decreto 457 de 2017. LOCALIDAD: KENNEDY; BARRIO: VEREDITAS; ID: 2017-8-383887</v>
          </cell>
          <cell r="J967">
            <v>54686940</v>
          </cell>
          <cell r="K967">
            <v>0</v>
          </cell>
          <cell r="L967">
            <v>54686940</v>
          </cell>
          <cell r="M967">
            <v>54686940</v>
          </cell>
          <cell r="N967">
            <v>0</v>
          </cell>
        </row>
        <row r="968">
          <cell r="A968">
            <v>572</v>
          </cell>
          <cell r="B968">
            <v>1336</v>
          </cell>
          <cell r="C968">
            <v>43144</v>
          </cell>
          <cell r="D968" t="str">
            <v>ALFREDO  CASTELLANOS</v>
          </cell>
          <cell r="E968">
            <v>31</v>
          </cell>
          <cell r="F968" t="str">
            <v>RESOLUCION</v>
          </cell>
          <cell r="G968">
            <v>1099</v>
          </cell>
          <cell r="H968">
            <v>43144</v>
          </cell>
          <cell r="I968" t="str">
            <v>Asignacion del instrumento financiero a las familias ocupantes del predio que hayan superado la fase de verificacion dentro  del marco del Decreto 457 de 2017. LOCALIDAD: KENNEDY; BARRIO: VEREDITAS; ID: 2017-8-383894</v>
          </cell>
          <cell r="J968">
            <v>54686940</v>
          </cell>
          <cell r="K968">
            <v>0</v>
          </cell>
          <cell r="L968">
            <v>54686940</v>
          </cell>
          <cell r="M968">
            <v>54686940</v>
          </cell>
          <cell r="N968">
            <v>0</v>
          </cell>
        </row>
        <row r="969">
          <cell r="A969">
            <v>596</v>
          </cell>
          <cell r="B969">
            <v>1337</v>
          </cell>
          <cell r="C969">
            <v>43144</v>
          </cell>
          <cell r="D969" t="str">
            <v>ANYI VANESSA ARIZA CAMACHO</v>
          </cell>
          <cell r="E969">
            <v>31</v>
          </cell>
          <cell r="F969" t="str">
            <v>RESOLUCION</v>
          </cell>
          <cell r="G969">
            <v>1101</v>
          </cell>
          <cell r="H969">
            <v>43144</v>
          </cell>
          <cell r="I969" t="str">
            <v>Asignacion del instrumento financiero a las familias ocupantes del predio que hayan superado la fase de verificacion dentro  del marco del Decreto 457 de 2017. LOCALIDAD: KENNEDY; BARRIO: VEREDITAS; ID: 2017-8-383612</v>
          </cell>
          <cell r="J969">
            <v>54686940</v>
          </cell>
          <cell r="K969">
            <v>0</v>
          </cell>
          <cell r="L969">
            <v>54686940</v>
          </cell>
          <cell r="M969">
            <v>54686940</v>
          </cell>
          <cell r="N969">
            <v>0</v>
          </cell>
        </row>
        <row r="970">
          <cell r="A970">
            <v>591</v>
          </cell>
          <cell r="B970">
            <v>1338</v>
          </cell>
          <cell r="C970">
            <v>43144</v>
          </cell>
          <cell r="D970" t="str">
            <v>MARIA GLADYS OSORIO CASTRO</v>
          </cell>
          <cell r="E970">
            <v>31</v>
          </cell>
          <cell r="F970" t="str">
            <v>RESOLUCION</v>
          </cell>
          <cell r="G970">
            <v>1126</v>
          </cell>
          <cell r="H970">
            <v>43144</v>
          </cell>
          <cell r="I970" t="str">
            <v>Asignacion del instrumento financiero a las familias ocupantes del predio que hayan superado la fase de verificacion dentro  del marco del Decreto 457 de 2017. LOCALIDAD: KENNEDY; BARRIO: VEREDITAS; ID: 2018-8-383900</v>
          </cell>
          <cell r="J970">
            <v>54686940</v>
          </cell>
          <cell r="K970">
            <v>0</v>
          </cell>
          <cell r="L970">
            <v>54686940</v>
          </cell>
          <cell r="M970">
            <v>54686940</v>
          </cell>
          <cell r="N970">
            <v>0</v>
          </cell>
        </row>
        <row r="971">
          <cell r="A971">
            <v>625</v>
          </cell>
          <cell r="B971">
            <v>1339</v>
          </cell>
          <cell r="C971">
            <v>43144</v>
          </cell>
          <cell r="D971" t="str">
            <v>CELIA MARIA AGUIRRE MUÑOZ</v>
          </cell>
          <cell r="E971">
            <v>31</v>
          </cell>
          <cell r="F971" t="str">
            <v>RESOLUCION</v>
          </cell>
          <cell r="G971">
            <v>1105</v>
          </cell>
          <cell r="H971">
            <v>43144</v>
          </cell>
          <cell r="I971" t="str">
            <v>Asignacion del instrumento financiero a las familias ocupantes del predio que hayan superado la fase de verificacion dentro  del marco del Decreto 457 de 2017. LOCALIDAD: KENNEDY; BARRIO: VEREDITAS; ID: 2018-8-383910</v>
          </cell>
          <cell r="J971">
            <v>54686940</v>
          </cell>
          <cell r="K971">
            <v>0</v>
          </cell>
          <cell r="L971">
            <v>54686940</v>
          </cell>
          <cell r="M971">
            <v>54686940</v>
          </cell>
          <cell r="N971">
            <v>0</v>
          </cell>
        </row>
        <row r="972">
          <cell r="A972">
            <v>612</v>
          </cell>
          <cell r="B972">
            <v>1340</v>
          </cell>
          <cell r="C972">
            <v>43144</v>
          </cell>
          <cell r="D972" t="str">
            <v>AURORA YANETH VELASQUEZ</v>
          </cell>
          <cell r="E972">
            <v>31</v>
          </cell>
          <cell r="F972" t="str">
            <v>RESOLUCION</v>
          </cell>
          <cell r="G972">
            <v>1097</v>
          </cell>
          <cell r="H972">
            <v>43144</v>
          </cell>
          <cell r="I972" t="str">
            <v>Asignacion del instrumento financiero a las familias ocupantes del predio que hayan superado la fase de verificacion dentro  del marco del Decreto 457 de 2017. LOCALIDAD: KENNEDY; BARRIO: VEREDITAS; ID: 2017-8-383789</v>
          </cell>
          <cell r="J972">
            <v>54686940</v>
          </cell>
          <cell r="K972">
            <v>0</v>
          </cell>
          <cell r="L972">
            <v>54686940</v>
          </cell>
          <cell r="M972">
            <v>54686940</v>
          </cell>
          <cell r="N972">
            <v>0</v>
          </cell>
        </row>
        <row r="973">
          <cell r="A973">
            <v>605</v>
          </cell>
          <cell r="B973">
            <v>1341</v>
          </cell>
          <cell r="C973">
            <v>43144</v>
          </cell>
          <cell r="D973" t="str">
            <v>MARTHA JANETH ARIZA CAMACHO</v>
          </cell>
          <cell r="E973">
            <v>31</v>
          </cell>
          <cell r="F973" t="str">
            <v>RESOLUCION</v>
          </cell>
          <cell r="G973">
            <v>1104</v>
          </cell>
          <cell r="H973">
            <v>43144</v>
          </cell>
          <cell r="I973" t="str">
            <v>Asignacion del instrumento financiero a las familias ocupantes del predio que hayan superado la fase de verificacion dentro  del marco del Decreto 457 de 2017. LOCALIDAD: KENNEDY; BARRIO: VEREDITAS; ID: 2018-8-383917</v>
          </cell>
          <cell r="J973">
            <v>54686940</v>
          </cell>
          <cell r="K973">
            <v>0</v>
          </cell>
          <cell r="L973">
            <v>54686940</v>
          </cell>
          <cell r="M973">
            <v>54686940</v>
          </cell>
          <cell r="N973">
            <v>0</v>
          </cell>
        </row>
        <row r="974">
          <cell r="A974">
            <v>622</v>
          </cell>
          <cell r="B974">
            <v>1342</v>
          </cell>
          <cell r="C974">
            <v>43144</v>
          </cell>
          <cell r="D974" t="str">
            <v>JOSE MANUEL TORRES NAIZAQUE</v>
          </cell>
          <cell r="E974">
            <v>31</v>
          </cell>
          <cell r="F974" t="str">
            <v>RESOLUCION</v>
          </cell>
          <cell r="G974">
            <v>1096</v>
          </cell>
          <cell r="H974">
            <v>43144</v>
          </cell>
          <cell r="I974" t="str">
            <v>Asignacion del instrumento financiero a las familias ocupantes del predio que hayan superado la fase de verificacion dentro  del marco del Decreto 457 de 2017. LOCALIDAD: KENNEDY; BARRIO: VEREDITAS; ID: 2018-8-383913</v>
          </cell>
          <cell r="J974">
            <v>54686940</v>
          </cell>
          <cell r="K974">
            <v>0</v>
          </cell>
          <cell r="L974">
            <v>54686940</v>
          </cell>
          <cell r="M974">
            <v>54686940</v>
          </cell>
          <cell r="N974">
            <v>0</v>
          </cell>
        </row>
        <row r="975">
          <cell r="A975">
            <v>615</v>
          </cell>
          <cell r="B975">
            <v>1343</v>
          </cell>
          <cell r="C975">
            <v>43144</v>
          </cell>
          <cell r="D975" t="str">
            <v>LEIDY YOHANNA AGUILAR VELASQUEZ</v>
          </cell>
          <cell r="E975">
            <v>31</v>
          </cell>
          <cell r="F975" t="str">
            <v>RESOLUCION</v>
          </cell>
          <cell r="G975">
            <v>1100</v>
          </cell>
          <cell r="H975">
            <v>43144</v>
          </cell>
          <cell r="I975" t="str">
            <v>Asignacion del instrumento financiero a las familias ocupantes del predio que hayan superado la fase de verificacion dentro  del marco del Decreto 457 de 2017. LOCALIDAD: KENNEDY; BARRIO: VEREDITAS; ID: 2018-8-383915</v>
          </cell>
          <cell r="J975">
            <v>54686940</v>
          </cell>
          <cell r="K975">
            <v>0</v>
          </cell>
          <cell r="L975">
            <v>54686940</v>
          </cell>
          <cell r="M975">
            <v>54686940</v>
          </cell>
          <cell r="N975">
            <v>0</v>
          </cell>
        </row>
        <row r="976">
          <cell r="A976">
            <v>619</v>
          </cell>
          <cell r="B976">
            <v>1344</v>
          </cell>
          <cell r="C976">
            <v>43144</v>
          </cell>
          <cell r="D976" t="str">
            <v>LUZ ADRIANA GARCIA DIAZ</v>
          </cell>
          <cell r="E976">
            <v>31</v>
          </cell>
          <cell r="F976" t="str">
            <v>RESOLUCION</v>
          </cell>
          <cell r="G976">
            <v>1095</v>
          </cell>
          <cell r="H976">
            <v>43144</v>
          </cell>
          <cell r="I976" t="str">
            <v>Asignacion del instrumento financiero a las familias ocupantes del predio que hayan superado la fase de verificacion dentro  del marco del Decreto 457 de 2017. LOCALIDAD: KENNEDY; BARRIO: VEREDITAS; ID: 2018-8-383904.</v>
          </cell>
          <cell r="J976">
            <v>54686940</v>
          </cell>
          <cell r="K976">
            <v>0</v>
          </cell>
          <cell r="L976">
            <v>54686940</v>
          </cell>
          <cell r="M976">
            <v>54686940</v>
          </cell>
          <cell r="N976">
            <v>0</v>
          </cell>
        </row>
        <row r="977">
          <cell r="A977">
            <v>606</v>
          </cell>
          <cell r="B977">
            <v>1345</v>
          </cell>
          <cell r="C977">
            <v>43144</v>
          </cell>
          <cell r="D977" t="str">
            <v>DEIVY JAIR NAVARRO SARMIENTO</v>
          </cell>
          <cell r="E977">
            <v>31</v>
          </cell>
          <cell r="F977" t="str">
            <v>RESOLUCION</v>
          </cell>
          <cell r="G977">
            <v>1103</v>
          </cell>
          <cell r="H977">
            <v>43144</v>
          </cell>
          <cell r="I977" t="str">
            <v>Asignacion del instrumento financiero a las familias ocupantes del predio que hayan superado la fase de verificacion dentro  del marco del Decreto 457 de 2017. LOCALIDAD: KENNEDY; BARRIO: VEREDITAS; ID: 2017-8-383722.</v>
          </cell>
          <cell r="J977">
            <v>54686940</v>
          </cell>
          <cell r="K977">
            <v>0</v>
          </cell>
          <cell r="L977">
            <v>54686940</v>
          </cell>
          <cell r="M977">
            <v>54686940</v>
          </cell>
          <cell r="N977">
            <v>0</v>
          </cell>
        </row>
        <row r="978">
          <cell r="A978">
            <v>395</v>
          </cell>
          <cell r="B978">
            <v>1346</v>
          </cell>
          <cell r="C978">
            <v>43145</v>
          </cell>
          <cell r="D978" t="str">
            <v>CARMEN ROSA POVEDA VDA DE CAMACHO</v>
          </cell>
          <cell r="E978">
            <v>31</v>
          </cell>
          <cell r="F978" t="str">
            <v>RESOLUCION</v>
          </cell>
          <cell r="G978">
            <v>732</v>
          </cell>
          <cell r="H978">
            <v>43145</v>
          </cell>
          <cell r="I978" t="str">
            <v>AYUDA TEMPORAL A LAS FAMILIAS DE VARIAS LOCALIDADES, PARA RELOCALIZACIÓN DE HOGARES LOCALIZADOS EN ZONAS DE ALTO RIESGO NO MITIGABLE ID:2014-Q07-00795, LOCALIDAD:19 CIUDAD BOLÍVAR, UPZ:68 EL TESORO, SECTOR:QUEBRADA GALINDO</v>
          </cell>
          <cell r="J978">
            <v>3330061</v>
          </cell>
          <cell r="K978">
            <v>0</v>
          </cell>
          <cell r="L978">
            <v>3330061</v>
          </cell>
          <cell r="M978">
            <v>1902892</v>
          </cell>
          <cell r="N978">
            <v>1427169</v>
          </cell>
        </row>
        <row r="979">
          <cell r="A979">
            <v>395</v>
          </cell>
          <cell r="B979">
            <v>1347</v>
          </cell>
          <cell r="C979">
            <v>43145</v>
          </cell>
          <cell r="D979" t="str">
            <v>ISABEL  GOMEZ JIMENEZ</v>
          </cell>
          <cell r="E979">
            <v>31</v>
          </cell>
          <cell r="F979" t="str">
            <v>RESOLUCION</v>
          </cell>
          <cell r="G979">
            <v>1177</v>
          </cell>
          <cell r="H979">
            <v>43145</v>
          </cell>
          <cell r="I979" t="str">
            <v>AYUDA TEMPORAL A LAS FAMILIAS DE VARIAS LOCALIDADES, PARA RELOCALIZACIÓN DE HOGARES LOCALIZADOS EN ZONAS DE ALTO RIESGO NO MITIGABLE ID:2012-ALES-227, LOCALIDAD:19 CIUDAD BOLÍVAR, UPZ:69 ISMAEL PERDOMO, SECTOR:ALTOS DE LA ESTANCIA</v>
          </cell>
          <cell r="J979">
            <v>3382995</v>
          </cell>
          <cell r="K979">
            <v>0</v>
          </cell>
          <cell r="L979">
            <v>3382995</v>
          </cell>
          <cell r="M979">
            <v>1933140</v>
          </cell>
          <cell r="N979">
            <v>1449855</v>
          </cell>
        </row>
        <row r="980">
          <cell r="A980">
            <v>395</v>
          </cell>
          <cell r="B980">
            <v>1348</v>
          </cell>
          <cell r="C980">
            <v>43145</v>
          </cell>
          <cell r="D980" t="str">
            <v>OSCAR JAVIER VELANDIA SIERRA</v>
          </cell>
          <cell r="E980">
            <v>31</v>
          </cell>
          <cell r="F980" t="str">
            <v>RESOLUCION</v>
          </cell>
          <cell r="G980">
            <v>1178</v>
          </cell>
          <cell r="H980">
            <v>43145</v>
          </cell>
          <cell r="I980" t="str">
            <v>AYUDA TEMPORAL A LAS FAMILIAS DE VARIAS LOCALIDADES, PARA RELOCALIZACIÓN DE HOGARES LOCALIZADOS EN ZONAS DE ALTO RIESGO NO MITIGABLE ID:2013-Q10-00548, LOCALIDAD:04 SAN CRISTÓBAL, UPZ:51 LOS LIBERTADORES, SECTOR:QUEBRADA VEREJONES</v>
          </cell>
          <cell r="J980">
            <v>3201695</v>
          </cell>
          <cell r="K980">
            <v>0</v>
          </cell>
          <cell r="L980">
            <v>3201695</v>
          </cell>
          <cell r="M980">
            <v>1372155</v>
          </cell>
          <cell r="N980">
            <v>1829540</v>
          </cell>
        </row>
        <row r="981">
          <cell r="A981">
            <v>395</v>
          </cell>
          <cell r="B981">
            <v>1349</v>
          </cell>
          <cell r="C981">
            <v>43145</v>
          </cell>
          <cell r="D981" t="str">
            <v>NELSON  GALEANO CORZO</v>
          </cell>
          <cell r="E981">
            <v>31</v>
          </cell>
          <cell r="F981" t="str">
            <v>RESOLUCION</v>
          </cell>
          <cell r="G981">
            <v>1179</v>
          </cell>
          <cell r="H981">
            <v>43145</v>
          </cell>
          <cell r="I981" t="str">
            <v>AYUDA TEMPORAL A LAS FAMILIAS DE VARIAS LOCALIDADES, PARA RELOCALIZACIÓN DE HOGARES LOCALIZADOS EN ZONAS DE ALTO RIESGO NO MITIGABLE ID:2013-Q05-00054, LOCALIDAD:19 CIUDAD BOLÍVAR, UPZ:68 EL TESORO, SECTOR:QUEBRADA GALINDO</v>
          </cell>
          <cell r="J981">
            <v>2596764</v>
          </cell>
          <cell r="K981">
            <v>649191</v>
          </cell>
          <cell r="L981">
            <v>1947573</v>
          </cell>
          <cell r="M981">
            <v>1947573</v>
          </cell>
          <cell r="N981">
            <v>0</v>
          </cell>
        </row>
        <row r="982">
          <cell r="A982">
            <v>395</v>
          </cell>
          <cell r="B982">
            <v>1350</v>
          </cell>
          <cell r="C982">
            <v>43145</v>
          </cell>
          <cell r="D982" t="str">
            <v>ARCESIO  CANIZALEZ SOTO</v>
          </cell>
          <cell r="E982">
            <v>31</v>
          </cell>
          <cell r="F982" t="str">
            <v>RESOLUCION</v>
          </cell>
          <cell r="G982">
            <v>1183</v>
          </cell>
          <cell r="H982">
            <v>43145</v>
          </cell>
          <cell r="I982" t="str">
            <v>AYUDA TEMPORAL A LAS FAMILIAS DE VARIAS LOCALIDADES, PARA RELOCALIZACIÓN DE HOGARES LOCALIZADOS EN ZONAS DE ALTO RIESGO NO MITIGABLE ID:2016-08-14914, LOCALIDAD:08 KENNEDY, UPZ:82 PATIO BONITO, SECTOR:PALMITAS</v>
          </cell>
          <cell r="J982">
            <v>4986969</v>
          </cell>
          <cell r="K982">
            <v>0</v>
          </cell>
          <cell r="L982">
            <v>4986969</v>
          </cell>
          <cell r="M982">
            <v>1534452</v>
          </cell>
          <cell r="N982">
            <v>3452517</v>
          </cell>
        </row>
        <row r="983">
          <cell r="A983">
            <v>395</v>
          </cell>
          <cell r="B983">
            <v>1351</v>
          </cell>
          <cell r="C983">
            <v>43145</v>
          </cell>
          <cell r="D983" t="str">
            <v>JOSE ANTONIO GRIMALDO BONILLA</v>
          </cell>
          <cell r="E983">
            <v>31</v>
          </cell>
          <cell r="F983" t="str">
            <v>RESOLUCION</v>
          </cell>
          <cell r="G983">
            <v>1174</v>
          </cell>
          <cell r="H983">
            <v>43145</v>
          </cell>
          <cell r="I983" t="str">
            <v>AYUDA TEMPORAL A LAS FAMILIAS DE VARIAS LOCALIDADES, PARA RELOCALIZACIÓN DE HOGARES LOCALIZADOS EN ZONAS DE ALTO RIESGO NO MITIGABLE ID:2016-08-14892, LOCALIDAD:08 KENNEDY, UPZ:82 PATIO BONITO, SECTOR:PALMITAS</v>
          </cell>
          <cell r="J983">
            <v>6722183</v>
          </cell>
          <cell r="K983">
            <v>0</v>
          </cell>
          <cell r="L983">
            <v>6722183</v>
          </cell>
          <cell r="M983">
            <v>2068364</v>
          </cell>
          <cell r="N983">
            <v>4653819</v>
          </cell>
        </row>
        <row r="984">
          <cell r="A984">
            <v>395</v>
          </cell>
          <cell r="B984">
            <v>1352</v>
          </cell>
          <cell r="C984">
            <v>43145</v>
          </cell>
          <cell r="D984" t="str">
            <v>JOSE MIYER CHIRIPUA GARCIA</v>
          </cell>
          <cell r="E984">
            <v>31</v>
          </cell>
          <cell r="F984" t="str">
            <v>RESOLUCION</v>
          </cell>
          <cell r="G984">
            <v>1175</v>
          </cell>
          <cell r="H984">
            <v>43145</v>
          </cell>
          <cell r="I984" t="str">
            <v>AYUDA TEMPORAL A LAS FAMILIAS DE VARIAS LOCALIDADES, PARA RELOCALIZACIÓN DE HOGARES LOCALIZADOS EN ZONAS DE ALTO RIESGO NO MITIGABLE ID:2014-W166-025, LOCALIDAD:19 CIUDAD BOLÍVAR, UPZ:67 LUCERO, SECTOR:WOUNAAN</v>
          </cell>
          <cell r="J984">
            <v>4795154</v>
          </cell>
          <cell r="K984">
            <v>0</v>
          </cell>
          <cell r="L984">
            <v>4795154</v>
          </cell>
          <cell r="M984">
            <v>1475432</v>
          </cell>
          <cell r="N984">
            <v>3319722</v>
          </cell>
        </row>
        <row r="985">
          <cell r="A985">
            <v>395</v>
          </cell>
          <cell r="B985">
            <v>1353</v>
          </cell>
          <cell r="C985">
            <v>43145</v>
          </cell>
          <cell r="D985" t="str">
            <v>ORLANDO  OCHOA MOSUCA</v>
          </cell>
          <cell r="E985">
            <v>31</v>
          </cell>
          <cell r="F985" t="str">
            <v>RESOLUCION</v>
          </cell>
          <cell r="G985">
            <v>1176</v>
          </cell>
          <cell r="H985">
            <v>43145</v>
          </cell>
          <cell r="I985" t="str">
            <v>AYUDA TEMPORAL A LAS FAMILIAS DE VARIAS LOCALIDADES, PARA RELOCALIZACIÓN DE HOGARES LOCALIZADOS EN ZONAS DE ALTO RIESGO NO MITIGABLE ID:2013-Q04-00517, LOCALIDAD:19 CIUDAD BOLÍVAR, UPZ:67 LUCERO, SECTOR:PEÑA COLORADA</v>
          </cell>
          <cell r="J985">
            <v>3150049</v>
          </cell>
          <cell r="K985">
            <v>0</v>
          </cell>
          <cell r="L985">
            <v>3150049</v>
          </cell>
          <cell r="M985">
            <v>1800028</v>
          </cell>
          <cell r="N985">
            <v>1350021</v>
          </cell>
        </row>
        <row r="986">
          <cell r="A986">
            <v>395</v>
          </cell>
          <cell r="B986">
            <v>1354</v>
          </cell>
          <cell r="C986">
            <v>43145</v>
          </cell>
          <cell r="D986" t="str">
            <v>NELSON RODRIGUEZ MONTOYA</v>
          </cell>
          <cell r="E986">
            <v>31</v>
          </cell>
          <cell r="F986" t="str">
            <v>RESOLUCION</v>
          </cell>
          <cell r="G986">
            <v>1184</v>
          </cell>
          <cell r="H986">
            <v>43145</v>
          </cell>
          <cell r="I986" t="str">
            <v>AYUDA TEMPORAL A LAS FAMILIAS DE VARIAS LOCALIDADES, PARA RELOCALIZACIÓN DE HOGARES LOCALIZADOS EN ZONAS DE ALTO RIESGO NO MITIGABLE ID:2014-Q09-01189, LOCALIDAD:19 CIUDAD BOLÍVAR, UPZ:67 LUCERO, SECTOR:QUEBRADA TROMPETA</v>
          </cell>
          <cell r="J986">
            <v>3247524</v>
          </cell>
          <cell r="K986">
            <v>0</v>
          </cell>
          <cell r="L986">
            <v>3247524</v>
          </cell>
          <cell r="M986">
            <v>1623762</v>
          </cell>
          <cell r="N986">
            <v>1623762</v>
          </cell>
        </row>
        <row r="987">
          <cell r="A987">
            <v>601</v>
          </cell>
          <cell r="B987">
            <v>1355</v>
          </cell>
          <cell r="C987">
            <v>43145</v>
          </cell>
          <cell r="D987" t="str">
            <v>JOSE BRANDON TELLO NARANJO</v>
          </cell>
          <cell r="E987">
            <v>31</v>
          </cell>
          <cell r="F987" t="str">
            <v>RESOLUCION</v>
          </cell>
          <cell r="G987">
            <v>1094</v>
          </cell>
          <cell r="H987">
            <v>43145</v>
          </cell>
          <cell r="I987" t="str">
            <v>Asignacion del instrumento financiero a las familias ocupantes del predio que hayan superado la fase de verificacion dentro  del marco del Decreto 457 de 2017. LOCALIDAD: KENNEDY; BARRIO: VEREDITAS; ID: 2017-8-383655</v>
          </cell>
          <cell r="J987">
            <v>54686940</v>
          </cell>
          <cell r="K987">
            <v>0</v>
          </cell>
          <cell r="L987">
            <v>54686940</v>
          </cell>
          <cell r="M987">
            <v>0</v>
          </cell>
          <cell r="N987">
            <v>54686940</v>
          </cell>
        </row>
        <row r="988">
          <cell r="A988">
            <v>395</v>
          </cell>
          <cell r="B988">
            <v>1356</v>
          </cell>
          <cell r="C988">
            <v>43146</v>
          </cell>
          <cell r="D988" t="str">
            <v>YEISON ALEXANDER CHAPARRO ANGULO</v>
          </cell>
          <cell r="E988">
            <v>31</v>
          </cell>
          <cell r="F988" t="str">
            <v>RESOLUCION</v>
          </cell>
          <cell r="G988">
            <v>1180</v>
          </cell>
          <cell r="H988">
            <v>43146</v>
          </cell>
          <cell r="I988" t="str">
            <v>AYUDA TEMPORAL A LAS FAMILIAS DE VARIAS LOCALIDADES, PARA RELOCALIZACIÓN DE HOGARES LOCALIZADOS EN ZONAS DE ALTO RIESGO NO MITIGABLE ID:2011-5-13065, LOCALIDAD:05 USME, UPZ:56 DANUBIO.</v>
          </cell>
          <cell r="J988">
            <v>3769724</v>
          </cell>
          <cell r="K988">
            <v>0</v>
          </cell>
          <cell r="L988">
            <v>3769724</v>
          </cell>
          <cell r="M988">
            <v>1615596</v>
          </cell>
          <cell r="N988">
            <v>2154128</v>
          </cell>
        </row>
        <row r="989">
          <cell r="A989">
            <v>395</v>
          </cell>
          <cell r="B989">
            <v>1357</v>
          </cell>
          <cell r="C989">
            <v>43146</v>
          </cell>
          <cell r="D989" t="str">
            <v>MARTHA CECILIA DIAZ DIAZ</v>
          </cell>
          <cell r="E989">
            <v>31</v>
          </cell>
          <cell r="F989" t="str">
            <v>RESOLUCION</v>
          </cell>
          <cell r="G989">
            <v>1181</v>
          </cell>
          <cell r="H989">
            <v>43146</v>
          </cell>
          <cell r="I989" t="str">
            <v>AYUDA TEMPORAL A LAS FAMILIAS DE VARIAS LOCALIDADES, PARA RELOCALIZACIÓN DE HOGARES LOCALIZADOS EN ZONAS DE ALTO RIESGO NO MITIGABLE ID:2015-D227-00015, LOCALIDAD:04 SAN CRISTÓBAL, UPZ:51 LOS LIBERTADORES, SECTOR:SANTA TERESITA</v>
          </cell>
          <cell r="J989">
            <v>3865040</v>
          </cell>
          <cell r="K989">
            <v>0</v>
          </cell>
          <cell r="L989">
            <v>3865040</v>
          </cell>
          <cell r="M989">
            <v>1932520</v>
          </cell>
          <cell r="N989">
            <v>1932520</v>
          </cell>
        </row>
        <row r="990">
          <cell r="A990">
            <v>395</v>
          </cell>
          <cell r="B990">
            <v>1358</v>
          </cell>
          <cell r="C990">
            <v>43146</v>
          </cell>
          <cell r="D990" t="str">
            <v>JUAN FRANCISCO ORTIZ REYES</v>
          </cell>
          <cell r="E990">
            <v>31</v>
          </cell>
          <cell r="F990" t="str">
            <v>RESOLUCION</v>
          </cell>
          <cell r="G990">
            <v>1182</v>
          </cell>
          <cell r="H990">
            <v>43146</v>
          </cell>
          <cell r="I990" t="str">
            <v>AYUDA TEMPORAL A LAS FAMILIAS DE VARIAS LOCALIDADES, PARA RELOCALIZACIÓN DE HOGARES LOCALIZADOS EN ZONAS DE ALTO RIESGO NO MITIGABLE ID:2014-Q09-00906, LOCALIDAD:19 CIUDAD BOLÍVAR, UPZ:67 LUCERO, SECTOR:QUEBRADA TROMPETA</v>
          </cell>
          <cell r="J990">
            <v>5276661</v>
          </cell>
          <cell r="K990">
            <v>0</v>
          </cell>
          <cell r="L990">
            <v>5276661</v>
          </cell>
          <cell r="M990">
            <v>1217691</v>
          </cell>
          <cell r="N990">
            <v>4058970</v>
          </cell>
        </row>
        <row r="991">
          <cell r="A991">
            <v>496</v>
          </cell>
          <cell r="B991">
            <v>1361</v>
          </cell>
          <cell r="C991">
            <v>43146</v>
          </cell>
          <cell r="D991" t="str">
            <v>ROSARIO  JANSASOY AGREDA</v>
          </cell>
          <cell r="E991">
            <v>31</v>
          </cell>
          <cell r="F991" t="str">
            <v>RESOLUCION</v>
          </cell>
          <cell r="G991">
            <v>1266</v>
          </cell>
          <cell r="H991">
            <v>43146</v>
          </cell>
          <cell r="I991" t="str">
            <v>VUR de la actual vigencia de acuerdo con el Decreto 255 de 2013. LOCALIDAD:CIUDAD BOLIVAR; BARRIO:LA CUMBRE 8 DE DICEMBRE; ID: 2014-LC-00814.</v>
          </cell>
          <cell r="J991">
            <v>39062100</v>
          </cell>
          <cell r="K991">
            <v>0</v>
          </cell>
          <cell r="L991">
            <v>39062100</v>
          </cell>
          <cell r="M991">
            <v>39062100</v>
          </cell>
          <cell r="N991">
            <v>0</v>
          </cell>
        </row>
        <row r="992">
          <cell r="A992">
            <v>616</v>
          </cell>
          <cell r="B992">
            <v>1363</v>
          </cell>
          <cell r="C992">
            <v>43147</v>
          </cell>
          <cell r="D992" t="str">
            <v>SANDRA MILENA CASTRO MORA</v>
          </cell>
          <cell r="E992">
            <v>31</v>
          </cell>
          <cell r="F992" t="str">
            <v>RESOLUCION</v>
          </cell>
          <cell r="G992">
            <v>1274</v>
          </cell>
          <cell r="H992">
            <v>43147</v>
          </cell>
          <cell r="I992" t="str">
            <v>Asignacion del instrumento financiero a las familias ocupantes del predio que hayan superado la fase de verificacion dentro  del marco del Decreto 457 de 2017. LOCALIDAD: KENNEDY; BARRIO: VEREDITAS; ID: 2018-8-383902.</v>
          </cell>
          <cell r="J992">
            <v>54686940</v>
          </cell>
          <cell r="K992">
            <v>0</v>
          </cell>
          <cell r="L992">
            <v>54686940</v>
          </cell>
          <cell r="M992">
            <v>54686940</v>
          </cell>
          <cell r="N992">
            <v>0</v>
          </cell>
        </row>
        <row r="993">
          <cell r="A993">
            <v>610</v>
          </cell>
          <cell r="B993">
            <v>1364</v>
          </cell>
          <cell r="C993">
            <v>43147</v>
          </cell>
          <cell r="D993" t="str">
            <v>MARIA CLEOTILDE CARO TOVAR</v>
          </cell>
          <cell r="E993">
            <v>31</v>
          </cell>
          <cell r="F993" t="str">
            <v>RESOLUCION</v>
          </cell>
          <cell r="G993">
            <v>1275</v>
          </cell>
          <cell r="H993">
            <v>43147</v>
          </cell>
          <cell r="I993" t="str">
            <v>Asignacion del instrumento financiero a las familias ocupantes del predio que hayan superado la fase de verificacion dentro  del marco del Decreto 457 de 2017. LOCALIDAD: KENNEDY; BARRIO: VEREDITAS; ID: 2017-8-383704</v>
          </cell>
          <cell r="J993">
            <v>54686940</v>
          </cell>
          <cell r="K993">
            <v>0</v>
          </cell>
          <cell r="L993">
            <v>54686940</v>
          </cell>
          <cell r="M993">
            <v>54686940</v>
          </cell>
          <cell r="N993">
            <v>0</v>
          </cell>
        </row>
        <row r="994">
          <cell r="A994">
            <v>617</v>
          </cell>
          <cell r="B994">
            <v>1365</v>
          </cell>
          <cell r="C994">
            <v>43147</v>
          </cell>
          <cell r="D994" t="str">
            <v>LUIS ALBERTO CERON ESPINOSA</v>
          </cell>
          <cell r="E994">
            <v>31</v>
          </cell>
          <cell r="F994" t="str">
            <v>RESOLUCION</v>
          </cell>
          <cell r="G994">
            <v>1277</v>
          </cell>
          <cell r="H994">
            <v>43147</v>
          </cell>
          <cell r="I994" t="str">
            <v>Asignacion del instrumento financiero a las familias ocupantes del predio que hayan superado la fase de verificacion dentro  del marco del Decreto 457 de 2017. LOCALIDAD: KENNEDY; BARRIO: VEREDITAS; ID: 2018-8-383905</v>
          </cell>
          <cell r="J994">
            <v>54686940</v>
          </cell>
          <cell r="K994">
            <v>0</v>
          </cell>
          <cell r="L994">
            <v>54686940</v>
          </cell>
          <cell r="M994">
            <v>0</v>
          </cell>
          <cell r="N994">
            <v>54686940</v>
          </cell>
        </row>
        <row r="995">
          <cell r="A995">
            <v>626</v>
          </cell>
          <cell r="B995">
            <v>1366</v>
          </cell>
          <cell r="C995">
            <v>43147</v>
          </cell>
          <cell r="D995" t="str">
            <v>MARIA ALEJANDRA ESPINOSA PASCUAS</v>
          </cell>
          <cell r="E995">
            <v>31</v>
          </cell>
          <cell r="F995" t="str">
            <v>RESOLUCION</v>
          </cell>
          <cell r="G995">
            <v>1276</v>
          </cell>
          <cell r="H995">
            <v>43147</v>
          </cell>
          <cell r="I995" t="str">
            <v>Asignacion del instrumento financiero a las familias ocupantes del predio que hayan superado la fase de verificacion dentro  del marco del Decreto 457 de 2017. LOCALIDAD: KENNEDY; BARRIO: VEREDITAS; ID: 2018-8-383921.</v>
          </cell>
          <cell r="J995">
            <v>54686940</v>
          </cell>
          <cell r="K995">
            <v>0</v>
          </cell>
          <cell r="L995">
            <v>54686940</v>
          </cell>
          <cell r="M995">
            <v>0</v>
          </cell>
          <cell r="N995">
            <v>54686940</v>
          </cell>
        </row>
        <row r="996">
          <cell r="A996">
            <v>578</v>
          </cell>
          <cell r="B996">
            <v>1367</v>
          </cell>
          <cell r="C996">
            <v>43147</v>
          </cell>
          <cell r="D996" t="str">
            <v>NIDIA JOHANA JIMENEZ CASTELLANOS</v>
          </cell>
          <cell r="E996">
            <v>31</v>
          </cell>
          <cell r="F996" t="str">
            <v>RESOLUCION</v>
          </cell>
          <cell r="G996">
            <v>1269</v>
          </cell>
          <cell r="H996">
            <v>43147</v>
          </cell>
          <cell r="I996" t="str">
            <v>Asignacion del instrumento financiero a las familias ocupantes del predio que hayan superado la fase de verificacion dentro  del marco del Decreto 457 de 2017. LOCALIDAD: KENNEDY; BARRIO: VEREDITAS; ID: 2017-8-383736</v>
          </cell>
          <cell r="J996">
            <v>54686940</v>
          </cell>
          <cell r="K996">
            <v>0</v>
          </cell>
          <cell r="L996">
            <v>54686940</v>
          </cell>
          <cell r="M996">
            <v>54686940</v>
          </cell>
          <cell r="N996">
            <v>0</v>
          </cell>
        </row>
        <row r="997">
          <cell r="A997">
            <v>621</v>
          </cell>
          <cell r="B997">
            <v>1368</v>
          </cell>
          <cell r="C997">
            <v>43147</v>
          </cell>
          <cell r="D997" t="str">
            <v>LEYDI CAROLINA ARIZA CAMACHO</v>
          </cell>
          <cell r="E997">
            <v>31</v>
          </cell>
          <cell r="F997" t="str">
            <v>RESOLUCION</v>
          </cell>
          <cell r="G997">
            <v>1272</v>
          </cell>
          <cell r="H997">
            <v>43147</v>
          </cell>
          <cell r="I997" t="str">
            <v>Asignacion del instrumento financiero a las familias ocupantes del predio que hayan superado la fase de verificacion dentro  del marco del Decreto 457 de 2017. LOCALIDAD: KENNEDY; BARRIO: VEREDITAS; ID: 2018-8-383916.</v>
          </cell>
          <cell r="J997">
            <v>54686940</v>
          </cell>
          <cell r="K997">
            <v>0</v>
          </cell>
          <cell r="L997">
            <v>54686940</v>
          </cell>
          <cell r="M997">
            <v>54686940</v>
          </cell>
          <cell r="N997">
            <v>0</v>
          </cell>
        </row>
        <row r="998">
          <cell r="A998">
            <v>593</v>
          </cell>
          <cell r="B998">
            <v>1369</v>
          </cell>
          <cell r="C998">
            <v>43147</v>
          </cell>
          <cell r="D998" t="str">
            <v>JHON ALEXANDER OROZCO CHITIVA</v>
          </cell>
          <cell r="E998">
            <v>31</v>
          </cell>
          <cell r="F998" t="str">
            <v>RESOLUCION</v>
          </cell>
          <cell r="G998">
            <v>1268</v>
          </cell>
          <cell r="H998">
            <v>43147</v>
          </cell>
          <cell r="I998" t="str">
            <v>Asignacion del instrumento financiero a las familias ocupantes del predio que hayan superado la fase de verificacion dentro  del marco del Decreto 457 de 2017. LOCALIDAD: KENNEDY; BARRIO: VEREDITAS; ID: 2018-8-383901</v>
          </cell>
          <cell r="J998">
            <v>54686940</v>
          </cell>
          <cell r="K998">
            <v>0</v>
          </cell>
          <cell r="L998">
            <v>54686940</v>
          </cell>
          <cell r="M998">
            <v>54686940</v>
          </cell>
          <cell r="N998">
            <v>0</v>
          </cell>
        </row>
        <row r="999">
          <cell r="A999">
            <v>623</v>
          </cell>
          <cell r="B999">
            <v>1370</v>
          </cell>
          <cell r="C999">
            <v>43147</v>
          </cell>
          <cell r="D999" t="str">
            <v>DANIEL  BARRERA MORENO</v>
          </cell>
          <cell r="E999">
            <v>31</v>
          </cell>
          <cell r="F999" t="str">
            <v>RESOLUCION</v>
          </cell>
          <cell r="G999">
            <v>1270</v>
          </cell>
          <cell r="H999">
            <v>43147</v>
          </cell>
          <cell r="I999" t="str">
            <v>Asignacion del instrumento financiero a las familias ocupantes del predio que hayan superado la fase de verificacion dentro  del marco del Decreto 457 de 2017. LOCALIDAD: KENNEDY; BARRIO: VEREDITAS; ID: 2018-8-383911</v>
          </cell>
          <cell r="J999">
            <v>54686940</v>
          </cell>
          <cell r="K999">
            <v>0</v>
          </cell>
          <cell r="L999">
            <v>54686940</v>
          </cell>
          <cell r="M999">
            <v>54686940</v>
          </cell>
          <cell r="N999">
            <v>0</v>
          </cell>
        </row>
        <row r="1000">
          <cell r="A1000">
            <v>589</v>
          </cell>
          <cell r="B1000">
            <v>1371</v>
          </cell>
          <cell r="C1000">
            <v>43147</v>
          </cell>
          <cell r="D1000" t="str">
            <v>ROSA JULIA CHITIVA PABON</v>
          </cell>
          <cell r="E1000">
            <v>31</v>
          </cell>
          <cell r="F1000" t="str">
            <v>RESOLUCION</v>
          </cell>
          <cell r="G1000">
            <v>1273</v>
          </cell>
          <cell r="H1000">
            <v>43147</v>
          </cell>
          <cell r="I1000" t="str">
            <v>Asignacion del instrumento financiero a las familias ocupantes del predio que hayan superado la fase de verificacion dentro  del marco del Decreto 457 de 2017. LOCALIDAD: KENNEDY; BARRIO: VEREDITAS; ID: 2017-8-383691</v>
          </cell>
          <cell r="J1000">
            <v>54686940</v>
          </cell>
          <cell r="K1000">
            <v>0</v>
          </cell>
          <cell r="L1000">
            <v>54686940</v>
          </cell>
          <cell r="M1000">
            <v>54686940</v>
          </cell>
          <cell r="N1000">
            <v>0</v>
          </cell>
        </row>
        <row r="1001">
          <cell r="A1001">
            <v>597</v>
          </cell>
          <cell r="B1001">
            <v>1372</v>
          </cell>
          <cell r="C1001">
            <v>43147</v>
          </cell>
          <cell r="D1001" t="str">
            <v>MANUEL FERNANDO GAMBA MARTINEZ</v>
          </cell>
          <cell r="E1001">
            <v>31</v>
          </cell>
          <cell r="F1001" t="str">
            <v>RESOLUCION</v>
          </cell>
          <cell r="G1001">
            <v>1271</v>
          </cell>
          <cell r="H1001">
            <v>43147</v>
          </cell>
          <cell r="I1001" t="str">
            <v>Asignacion del instrumento financiero a las familias ocupantes del predio que hayan superado la fase de verificacion dentro  del marco del Decreto 457 de 2017. LOCALIDAD: KENNEDY; BARRIO: VEREDITAS; ID: 2018-8-383914</v>
          </cell>
          <cell r="J1001">
            <v>54686940</v>
          </cell>
          <cell r="K1001">
            <v>0</v>
          </cell>
          <cell r="L1001">
            <v>54686940</v>
          </cell>
          <cell r="M1001">
            <v>54686940</v>
          </cell>
          <cell r="N1001">
            <v>0</v>
          </cell>
        </row>
        <row r="1002">
          <cell r="A1002">
            <v>611</v>
          </cell>
          <cell r="B1002">
            <v>1373</v>
          </cell>
          <cell r="C1002">
            <v>43147</v>
          </cell>
          <cell r="D1002" t="str">
            <v>MARTHA EDITH VALDEZ CORTES</v>
          </cell>
          <cell r="E1002">
            <v>31</v>
          </cell>
          <cell r="F1002" t="str">
            <v>RESOLUCION</v>
          </cell>
          <cell r="G1002">
            <v>1279</v>
          </cell>
          <cell r="H1002">
            <v>43147</v>
          </cell>
          <cell r="I1002" t="str">
            <v>Asignacion del instrumento financiero a las familias ocupantes del predio que hayan superado la fase de verificacion dentro  del marco del Decreto 457 de 2017. LOCALIDAD: KENNEDY; BARRIO: VEREDITAS; ID: 2017-8-383752</v>
          </cell>
          <cell r="J1002">
            <v>54686940</v>
          </cell>
          <cell r="K1002">
            <v>0</v>
          </cell>
          <cell r="L1002">
            <v>54686940</v>
          </cell>
          <cell r="M1002">
            <v>54686940</v>
          </cell>
          <cell r="N1002">
            <v>0</v>
          </cell>
        </row>
        <row r="1003">
          <cell r="A1003">
            <v>613</v>
          </cell>
          <cell r="B1003">
            <v>1374</v>
          </cell>
          <cell r="C1003">
            <v>43147</v>
          </cell>
          <cell r="D1003" t="str">
            <v>JAIRO  CASTRO MORA</v>
          </cell>
          <cell r="E1003">
            <v>31</v>
          </cell>
          <cell r="F1003" t="str">
            <v>RESOLUCION</v>
          </cell>
          <cell r="G1003">
            <v>1278</v>
          </cell>
          <cell r="H1003">
            <v>43147</v>
          </cell>
          <cell r="I1003" t="str">
            <v>Asignacion del instrumento financiero a las familias ocupantes del predio que hayan superado la fase de verificacion dentro  del marco del Decreto 457 de 2017. LOCALIDAD: KENNEDY; BARRIO: VEREDITAS; ID: 2018-8-383903</v>
          </cell>
          <cell r="J1003">
            <v>54686940</v>
          </cell>
          <cell r="K1003">
            <v>0</v>
          </cell>
          <cell r="L1003">
            <v>54686940</v>
          </cell>
          <cell r="M1003">
            <v>54686940</v>
          </cell>
          <cell r="N1003">
            <v>0</v>
          </cell>
        </row>
        <row r="1004">
          <cell r="A1004">
            <v>637</v>
          </cell>
          <cell r="B1004">
            <v>1375</v>
          </cell>
          <cell r="C1004">
            <v>43147</v>
          </cell>
          <cell r="D1004" t="str">
            <v>LUISA FERNANDA MAHECHA MORENO</v>
          </cell>
          <cell r="E1004">
            <v>31</v>
          </cell>
          <cell r="F1004" t="str">
            <v>RESOLUCION</v>
          </cell>
          <cell r="G1004">
            <v>1283</v>
          </cell>
          <cell r="H1004">
            <v>43147</v>
          </cell>
          <cell r="I1004" t="str">
            <v>Asignacion del instrumento financiero a las familias ocupantes del predio que hayan superado la fase de verificacion dentro  del marco del Decreto 457 de 2017. LOCALIDAD: KENNEDY; BARRIO: VEREDITAS; ID: 2018-8-383930</v>
          </cell>
          <cell r="J1004">
            <v>54686940</v>
          </cell>
          <cell r="K1004">
            <v>0</v>
          </cell>
          <cell r="L1004">
            <v>54686940</v>
          </cell>
          <cell r="M1004">
            <v>54686940</v>
          </cell>
          <cell r="N1004">
            <v>0</v>
          </cell>
        </row>
        <row r="1005">
          <cell r="A1005">
            <v>634</v>
          </cell>
          <cell r="B1005">
            <v>1376</v>
          </cell>
          <cell r="C1005">
            <v>43147</v>
          </cell>
          <cell r="D1005" t="str">
            <v>VICTOR LEONARDO CERON ESPINOSA</v>
          </cell>
          <cell r="E1005">
            <v>31</v>
          </cell>
          <cell r="F1005" t="str">
            <v>RESOLUCION</v>
          </cell>
          <cell r="G1005">
            <v>1282</v>
          </cell>
          <cell r="H1005">
            <v>43147</v>
          </cell>
          <cell r="I1005" t="str">
            <v>Asignacion del instrumento financiero a las familias ocupantes del predio que hayan superado la fase de verificacion dentro  del marco del Decreto 457 de 2017. LOCALIDAD: KENNEDY; BARRIO: VEREDITAS; ID: 2018-8-383920</v>
          </cell>
          <cell r="J1005">
            <v>54686940</v>
          </cell>
          <cell r="K1005">
            <v>0</v>
          </cell>
          <cell r="L1005">
            <v>54686940</v>
          </cell>
          <cell r="M1005">
            <v>0</v>
          </cell>
          <cell r="N1005">
            <v>54686940</v>
          </cell>
        </row>
        <row r="1006">
          <cell r="A1006">
            <v>631</v>
          </cell>
          <cell r="B1006">
            <v>1377</v>
          </cell>
          <cell r="C1006">
            <v>43147</v>
          </cell>
          <cell r="D1006" t="str">
            <v>JOSE DAVID RODRIGUEZ VALDES</v>
          </cell>
          <cell r="E1006">
            <v>31</v>
          </cell>
          <cell r="F1006" t="str">
            <v>RESOLUCION</v>
          </cell>
          <cell r="G1006">
            <v>1281</v>
          </cell>
          <cell r="H1006">
            <v>43147</v>
          </cell>
          <cell r="I1006" t="str">
            <v>Asignacion del instrumento financiero a las familias ocupantes del predio que hayan superado la fase de verificacion dentro  del marco del Decreto 457 de 2017. LOCALIDAD: KENNEDY; BARRIO: VEREDITAS; ID: 2018-8-383912.</v>
          </cell>
          <cell r="J1006">
            <v>54686940</v>
          </cell>
          <cell r="K1006">
            <v>0</v>
          </cell>
          <cell r="L1006">
            <v>54686940</v>
          </cell>
          <cell r="M1006">
            <v>54686940</v>
          </cell>
          <cell r="N1006">
            <v>0</v>
          </cell>
        </row>
        <row r="1007">
          <cell r="A1007">
            <v>642</v>
          </cell>
          <cell r="B1007">
            <v>1381</v>
          </cell>
          <cell r="C1007">
            <v>43150</v>
          </cell>
          <cell r="D1007" t="str">
            <v>RUBIELA  LEON OBANDO</v>
          </cell>
          <cell r="E1007">
            <v>31</v>
          </cell>
          <cell r="F1007" t="str">
            <v>RESOLUCION</v>
          </cell>
          <cell r="G1007">
            <v>1284</v>
          </cell>
          <cell r="H1007">
            <v>43150</v>
          </cell>
          <cell r="I1007" t="str">
            <v>Asignacion del instrumento financiero a las familias ocupantes del predio que hayan superado la fase de verificacion dentro  del marco del Decreto 457 de 2017. LOCALIDAD: KENNEDY; BARRIO: VEREDITAS; ID: 2017-8-383607</v>
          </cell>
          <cell r="J1007">
            <v>54686940</v>
          </cell>
          <cell r="K1007">
            <v>0</v>
          </cell>
          <cell r="L1007">
            <v>54686940</v>
          </cell>
          <cell r="M1007">
            <v>54686940</v>
          </cell>
          <cell r="N1007">
            <v>0</v>
          </cell>
        </row>
        <row r="1008">
          <cell r="A1008">
            <v>608</v>
          </cell>
          <cell r="B1008">
            <v>1382</v>
          </cell>
          <cell r="C1008">
            <v>43150</v>
          </cell>
          <cell r="D1008" t="str">
            <v>EDWIN  PATIÑO LEON</v>
          </cell>
          <cell r="E1008">
            <v>31</v>
          </cell>
          <cell r="F1008" t="str">
            <v>RESOLUCION</v>
          </cell>
          <cell r="G1008">
            <v>1285</v>
          </cell>
          <cell r="H1008">
            <v>43150</v>
          </cell>
          <cell r="I1008" t="str">
            <v>Asignacion del instrumento financiero a las familias ocupantes del predio que hayan superado la fase de verificacion dentro  del marco del Decreto 457 de 2017. LOCALIDAD: KENNEDY; BARRIO: VEREDITAS; ID: 2017-8-383615</v>
          </cell>
          <cell r="J1008">
            <v>54686940</v>
          </cell>
          <cell r="K1008">
            <v>0</v>
          </cell>
          <cell r="L1008">
            <v>54686940</v>
          </cell>
          <cell r="M1008">
            <v>54686940</v>
          </cell>
          <cell r="N1008">
            <v>0</v>
          </cell>
        </row>
        <row r="1009">
          <cell r="A1009">
            <v>576</v>
          </cell>
          <cell r="B1009">
            <v>1383</v>
          </cell>
          <cell r="C1009">
            <v>43150</v>
          </cell>
          <cell r="D1009" t="str">
            <v>CAROLINA  NOPE ARIAS</v>
          </cell>
          <cell r="E1009">
            <v>31</v>
          </cell>
          <cell r="F1009" t="str">
            <v>RESOLUCION</v>
          </cell>
          <cell r="G1009">
            <v>1280</v>
          </cell>
          <cell r="H1009">
            <v>43150</v>
          </cell>
          <cell r="I1009" t="str">
            <v>ASIGNACION DEL INSTRUMENTO FINANCIERO A LAS FAMILIAS OCUPANTES DEL PREDIO QUE HAYAN SUPERADO LA FASE DE VERIFICACION; DENTRO DEL MARCO DELDECRETO 457 DE 2017. LOCALIDAD: KENNEDY; BARRIO: VEREDITAS; ID: 2018-8-15013 - CAROLINA NOPE ARIAS, REPRESENTANTE LEGAL DEL BENEFICIARIO ROBERT STEVEN RUSINQUE NOPE CON T.I.  1,001,052,651</v>
          </cell>
          <cell r="J1009">
            <v>54686940</v>
          </cell>
          <cell r="K1009">
            <v>0</v>
          </cell>
          <cell r="L1009">
            <v>54686940</v>
          </cell>
          <cell r="M1009">
            <v>54686940</v>
          </cell>
          <cell r="N1009">
            <v>0</v>
          </cell>
        </row>
        <row r="1010">
          <cell r="A1010">
            <v>483</v>
          </cell>
          <cell r="B1010">
            <v>1391</v>
          </cell>
          <cell r="C1010">
            <v>43151</v>
          </cell>
          <cell r="D1010" t="str">
            <v>CAJA DE VIVIENDA POPULAR</v>
          </cell>
          <cell r="E1010">
            <v>1</v>
          </cell>
          <cell r="F1010" t="str">
            <v>RELACION DE AUTORIZACION</v>
          </cell>
          <cell r="G1010">
            <v>17</v>
          </cell>
          <cell r="H1010">
            <v>43151</v>
          </cell>
          <cell r="I1010" t="str">
            <v>PAGO DE NOMINA DEL MES DE FEBRERO DE 2018 DE LA PLANTA TEMPORAL PROYECTO 3075</v>
          </cell>
          <cell r="J1010">
            <v>109439448</v>
          </cell>
          <cell r="K1010">
            <v>0</v>
          </cell>
          <cell r="L1010">
            <v>109439448</v>
          </cell>
          <cell r="M1010">
            <v>109439448</v>
          </cell>
          <cell r="N1010">
            <v>0</v>
          </cell>
        </row>
        <row r="1011">
          <cell r="A1011">
            <v>395</v>
          </cell>
          <cell r="B1011">
            <v>1392</v>
          </cell>
          <cell r="C1011">
            <v>43151</v>
          </cell>
          <cell r="D1011" t="str">
            <v>FABIO IVAN ESPITIA GONZALEZ</v>
          </cell>
          <cell r="E1011">
            <v>31</v>
          </cell>
          <cell r="F1011" t="str">
            <v>RESOLUCION</v>
          </cell>
          <cell r="G1011">
            <v>1347</v>
          </cell>
          <cell r="H1011">
            <v>43151</v>
          </cell>
          <cell r="I1011" t="str">
            <v>AYUDA TEMPORAL A LAS FAMILIAS DE VARIAS LOCALIDADES, PARA RELOCALIZACIÓN DE HOGARES LOCALIZADOS EN ZONAS DE ALTO RIESGO NO MITIGABLE ID:2014-OTR-01128, LOCALIDAD:11 SUBA, UPZ:71 TIBABUYES, SECTOR:GAVILANES</v>
          </cell>
          <cell r="J1011">
            <v>2550450</v>
          </cell>
          <cell r="K1011">
            <v>0</v>
          </cell>
          <cell r="L1011">
            <v>2550450</v>
          </cell>
          <cell r="M1011">
            <v>1275225</v>
          </cell>
          <cell r="N1011">
            <v>1275225</v>
          </cell>
        </row>
        <row r="1012">
          <cell r="A1012">
            <v>395</v>
          </cell>
          <cell r="B1012">
            <v>1393</v>
          </cell>
          <cell r="C1012">
            <v>43151</v>
          </cell>
          <cell r="D1012" t="str">
            <v>CONSUELO DEL CARMEN HERNANDEZ ARCIA</v>
          </cell>
          <cell r="E1012">
            <v>31</v>
          </cell>
          <cell r="F1012" t="str">
            <v>RESOLUCION</v>
          </cell>
          <cell r="G1012">
            <v>1333</v>
          </cell>
          <cell r="H1012">
            <v>43151</v>
          </cell>
          <cell r="I1012" t="str">
            <v>AYUDA TEMPORAL A LAS FAMILIAS DE VARIAS LOCALIDADES, PARA RELOCALIZACIÓN DE HOGARES LOCALIZADOS EN ZONAS DE ALTO RIESGO NO MITIGABLE ID:2015-Q04-01434, LOCALIDAD:19 CIUDAD BOLÍVAR, UPZ:67 LUCERO, SECTOR:PEÑA COLORADA</v>
          </cell>
          <cell r="J1012">
            <v>2706270</v>
          </cell>
          <cell r="K1012">
            <v>0</v>
          </cell>
          <cell r="L1012">
            <v>2706270</v>
          </cell>
          <cell r="M1012">
            <v>1353135</v>
          </cell>
          <cell r="N1012">
            <v>1353135</v>
          </cell>
        </row>
        <row r="1013">
          <cell r="A1013">
            <v>395</v>
          </cell>
          <cell r="B1013">
            <v>1394</v>
          </cell>
          <cell r="C1013">
            <v>43151</v>
          </cell>
          <cell r="D1013" t="str">
            <v>JOSE ORLANDO GANZO MORALES</v>
          </cell>
          <cell r="E1013">
            <v>31</v>
          </cell>
          <cell r="F1013" t="str">
            <v>RESOLUCION</v>
          </cell>
          <cell r="G1013">
            <v>1334</v>
          </cell>
          <cell r="H1013">
            <v>43151</v>
          </cell>
          <cell r="I1013" t="str">
            <v>AYUDA TEMPORAL A LAS FAMILIAS DE VARIAS LOCALIDADES, PARA RELOCALIZACIÓN DE HOGARES LOCALIZADOS EN ZONAS DE ALTO RIESGO NO MITIGABLE ID:2011-4-12724, LOCALIDAD:04 SAN CRISTÓBAL, UPZ:32 SAN BLAS</v>
          </cell>
          <cell r="J1013">
            <v>2213148</v>
          </cell>
          <cell r="K1013">
            <v>0</v>
          </cell>
          <cell r="L1013">
            <v>2213148</v>
          </cell>
          <cell r="M1013">
            <v>1106574</v>
          </cell>
          <cell r="N1013">
            <v>1106574</v>
          </cell>
        </row>
        <row r="1014">
          <cell r="A1014">
            <v>395</v>
          </cell>
          <cell r="B1014">
            <v>1395</v>
          </cell>
          <cell r="C1014">
            <v>43151</v>
          </cell>
          <cell r="D1014" t="str">
            <v>ALBA LUCIA PEÑA LINARES</v>
          </cell>
          <cell r="E1014">
            <v>31</v>
          </cell>
          <cell r="F1014" t="str">
            <v>RESOLUCION</v>
          </cell>
          <cell r="G1014">
            <v>1335</v>
          </cell>
          <cell r="H1014">
            <v>43151</v>
          </cell>
          <cell r="I1014" t="str">
            <v>AYUDA TEMPORAL A LAS FAMILIAS DE VARIAS LOCALIDADES, PARA RELOCALIZACIÓN DE HOGARES LOCALIZADOS EN ZONAS DE ALTO RIESGO NO MITIGABLE ID:2012-T314-09, LOCALIDAD:04 SAN CRISTÓBAL, UPZ:50 LA GLORIA</v>
          </cell>
          <cell r="J1014">
            <v>3054150</v>
          </cell>
          <cell r="K1014">
            <v>0</v>
          </cell>
          <cell r="L1014">
            <v>3054150</v>
          </cell>
          <cell r="M1014">
            <v>1527075</v>
          </cell>
          <cell r="N1014">
            <v>1527075</v>
          </cell>
        </row>
        <row r="1015">
          <cell r="A1015">
            <v>395</v>
          </cell>
          <cell r="B1015">
            <v>1396</v>
          </cell>
          <cell r="C1015">
            <v>43151</v>
          </cell>
          <cell r="D1015" t="str">
            <v>ANA ISABEL FORERO SOTO</v>
          </cell>
          <cell r="E1015">
            <v>31</v>
          </cell>
          <cell r="F1015" t="str">
            <v>RESOLUCION</v>
          </cell>
          <cell r="G1015">
            <v>1336</v>
          </cell>
          <cell r="H1015">
            <v>43151</v>
          </cell>
          <cell r="I1015" t="str">
            <v>AYUDA TEMPORAL A LAS FAMILIAS DE VARIAS LOCALIDADES, PARA RELOCALIZACIÓN DE HOGARES LOCALIZADOS EN ZONAS DE ALTO RIESGO NO MITIGABLE ID:2014-OTR-00879, LOCALIDAD:03 SANTA FE, UPZ:96 LOURDES, SECTOR:CASA 2</v>
          </cell>
          <cell r="J1015">
            <v>3014166</v>
          </cell>
          <cell r="K1015">
            <v>0</v>
          </cell>
          <cell r="L1015">
            <v>3014166</v>
          </cell>
          <cell r="M1015">
            <v>1507083</v>
          </cell>
          <cell r="N1015">
            <v>1507083</v>
          </cell>
        </row>
        <row r="1016">
          <cell r="A1016">
            <v>395</v>
          </cell>
          <cell r="B1016">
            <v>1397</v>
          </cell>
          <cell r="C1016">
            <v>43151</v>
          </cell>
          <cell r="D1016" t="str">
            <v>MARLENY  MARTINEZ MARTINEZ</v>
          </cell>
          <cell r="E1016">
            <v>31</v>
          </cell>
          <cell r="F1016" t="str">
            <v>RESOLUCION</v>
          </cell>
          <cell r="G1016">
            <v>1337</v>
          </cell>
          <cell r="H1016">
            <v>43151</v>
          </cell>
          <cell r="I1016" t="str">
            <v>AYUDA TEMPORAL A LAS FAMILIAS DE VARIAS LOCALIDADES, PARA RELOCALIZACIÓN DE HOGARES LOCALIZADOS EN ZONAS DE ALTO RIESGO NO MITIGABLE ID:2011-19-12731, LOCALIDAD:19 CIUDAD BOLÍVAR, UPZ:67 LUCERO, SECTOR:OLA INVERNAL 2010 FOPAE</v>
          </cell>
          <cell r="J1016">
            <v>2301678</v>
          </cell>
          <cell r="K1016">
            <v>0</v>
          </cell>
          <cell r="L1016">
            <v>2301678</v>
          </cell>
          <cell r="M1016">
            <v>1150839</v>
          </cell>
          <cell r="N1016">
            <v>1150839</v>
          </cell>
        </row>
        <row r="1017">
          <cell r="A1017">
            <v>395</v>
          </cell>
          <cell r="B1017">
            <v>1398</v>
          </cell>
          <cell r="C1017">
            <v>43151</v>
          </cell>
          <cell r="D1017" t="str">
            <v>JOSE GUILLERMO ARIZA</v>
          </cell>
          <cell r="E1017">
            <v>31</v>
          </cell>
          <cell r="F1017" t="str">
            <v>RESOLUCION</v>
          </cell>
          <cell r="G1017">
            <v>1338</v>
          </cell>
          <cell r="H1017">
            <v>43151</v>
          </cell>
          <cell r="I1017" t="str">
            <v>AYUDA TEMPORAL A LAS FAMILIAS DE VARIAS LOCALIDADES, PARA RELOCALIZACIÓN DE HOGARES LOCALIZADOS EN ZONAS DE ALTO RIESGO NO MITIGABLE ID:2011-4-12643, LOCALIDAD:04 SAN CRISTÓBAL, UPZ:32 SAN BLAS</v>
          </cell>
          <cell r="J1017">
            <v>2854338</v>
          </cell>
          <cell r="K1017">
            <v>0</v>
          </cell>
          <cell r="L1017">
            <v>2854338</v>
          </cell>
          <cell r="M1017">
            <v>1427169</v>
          </cell>
          <cell r="N1017">
            <v>1427169</v>
          </cell>
        </row>
        <row r="1018">
          <cell r="A1018">
            <v>395</v>
          </cell>
          <cell r="B1018">
            <v>1399</v>
          </cell>
          <cell r="C1018">
            <v>43151</v>
          </cell>
          <cell r="D1018" t="str">
            <v>VICTOR MANUEL FIGUEROA RAMOS</v>
          </cell>
          <cell r="E1018">
            <v>31</v>
          </cell>
          <cell r="F1018" t="str">
            <v>RESOLUCION</v>
          </cell>
          <cell r="G1018">
            <v>1339</v>
          </cell>
          <cell r="H1018">
            <v>43151</v>
          </cell>
          <cell r="I1018" t="str">
            <v>AYUDA TEMPORAL A LAS FAMILIAS DE VARIAS LOCALIDADES, PARA RELOCALIZACIÓN DE HOGARES LOCALIZADOS EN ZONAS DE ALTO RIESGO NO MITIGABLE ID:2014-Q03-01043, LOCALIDAD:19 CIUDAD BOLÍVAR, UPZ:66 SAN FRANCISCO, SECTOR:LIMAS</v>
          </cell>
          <cell r="J1018">
            <v>2987262</v>
          </cell>
          <cell r="K1018">
            <v>0</v>
          </cell>
          <cell r="L1018">
            <v>2987262</v>
          </cell>
          <cell r="M1018">
            <v>1493631</v>
          </cell>
          <cell r="N1018">
            <v>1493631</v>
          </cell>
        </row>
        <row r="1019">
          <cell r="A1019">
            <v>395</v>
          </cell>
          <cell r="B1019">
            <v>1400</v>
          </cell>
          <cell r="C1019">
            <v>43151</v>
          </cell>
          <cell r="D1019" t="str">
            <v>JENNY PAOLA CABALLERO TORRES</v>
          </cell>
          <cell r="E1019">
            <v>31</v>
          </cell>
          <cell r="F1019" t="str">
            <v>RESOLUCION</v>
          </cell>
          <cell r="G1019">
            <v>1340</v>
          </cell>
          <cell r="H1019">
            <v>43151</v>
          </cell>
          <cell r="I1019" t="str">
            <v>AYUDA TEMPORAL A LAS FAMILIAS DE VARIAS LOCALIDADES, PARA RELOCALIZACIÓN DE HOGARES LOCALIZADOS EN ZONAS DE ALTO RIESGO NO MITIGABLE ID:2015-Q03-01432, LOCALIDAD:19 CIUDAD BOLÍVAR, UPZ:66 SAN FRANCISCO, SECTOR:LIMAS</v>
          </cell>
          <cell r="J1019">
            <v>2706270</v>
          </cell>
          <cell r="K1019">
            <v>0</v>
          </cell>
          <cell r="L1019">
            <v>2706270</v>
          </cell>
          <cell r="M1019">
            <v>1353135</v>
          </cell>
          <cell r="N1019">
            <v>1353135</v>
          </cell>
        </row>
        <row r="1020">
          <cell r="A1020">
            <v>395</v>
          </cell>
          <cell r="B1020">
            <v>1401</v>
          </cell>
          <cell r="C1020">
            <v>43151</v>
          </cell>
          <cell r="D1020" t="str">
            <v>MARIA GILMA RAMOS ROLDAN</v>
          </cell>
          <cell r="E1020">
            <v>31</v>
          </cell>
          <cell r="F1020" t="str">
            <v>RESOLUCION</v>
          </cell>
          <cell r="G1020">
            <v>1341</v>
          </cell>
          <cell r="H1020">
            <v>43151</v>
          </cell>
          <cell r="I1020" t="str">
            <v>AYUDA TEMPORAL A LAS FAMILIAS DE VARIAS LOCALIDADES, PARA RELOCALIZACIÓN DE HOGARES LOCALIZADOS EN ZONAS DE ALTO RIESGO NO MITIGABLE ID:2014-OTR-00900, LOCALIDAD:03 SANTA FE, UPZ:96 LOURDES, SECTOR:CASA 3</v>
          </cell>
          <cell r="J1020">
            <v>2213148</v>
          </cell>
          <cell r="K1020">
            <v>0</v>
          </cell>
          <cell r="L1020">
            <v>2213148</v>
          </cell>
          <cell r="M1020">
            <v>1106574</v>
          </cell>
          <cell r="N1020">
            <v>1106574</v>
          </cell>
        </row>
        <row r="1021">
          <cell r="A1021">
            <v>395</v>
          </cell>
          <cell r="B1021">
            <v>1403</v>
          </cell>
          <cell r="C1021">
            <v>43151</v>
          </cell>
          <cell r="D1021" t="str">
            <v>OFELIA  MARTINEZ DE GUTIERREZ</v>
          </cell>
          <cell r="E1021">
            <v>31</v>
          </cell>
          <cell r="F1021" t="str">
            <v>RESOLUCION</v>
          </cell>
          <cell r="G1021">
            <v>1342</v>
          </cell>
          <cell r="H1021">
            <v>43151</v>
          </cell>
          <cell r="I1021" t="str">
            <v>AYUDA TEMPORAL A LAS FAMILIAS DE VARIAS LOCALIDADES, PARA RELOCALIZACIÓN DE HOGARES LOCALIZADOS EN ZONAS DE ALTO RIESGO NO MITIGABLE ID:2014-LC-00810, LOCALIDAD:19 CIUDAD BOLÍVAR, UPZ:69 ISMAEL PERDOMO</v>
          </cell>
          <cell r="J1021">
            <v>2439360</v>
          </cell>
          <cell r="K1021">
            <v>0</v>
          </cell>
          <cell r="L1021">
            <v>2439360</v>
          </cell>
          <cell r="M1021">
            <v>1219680</v>
          </cell>
          <cell r="N1021">
            <v>1219680</v>
          </cell>
        </row>
        <row r="1022">
          <cell r="A1022">
            <v>395</v>
          </cell>
          <cell r="B1022">
            <v>1404</v>
          </cell>
          <cell r="C1022">
            <v>43151</v>
          </cell>
          <cell r="D1022" t="str">
            <v>ORLANDO  RODRIGUEZ ANZOLA</v>
          </cell>
          <cell r="E1022">
            <v>31</v>
          </cell>
          <cell r="F1022" t="str">
            <v>RESOLUCION</v>
          </cell>
          <cell r="G1022">
            <v>1306</v>
          </cell>
          <cell r="H1022">
            <v>43151</v>
          </cell>
          <cell r="I1022" t="str">
            <v>AYUDA TEMPORAL A LAS FAMILIAS DE VARIAS LOCALIDADES, PARA RELOCALIZACIÓN DE HOGARES LOCALIZADOS EN ZONAS DE ALTO RIESGO NO MITIGABLE ID:2015-Q03-03362, LOCALIDAD:19 CIUDAD BOLÍVAR, UPZ:67 LUCERO, SECTOR:LIMAS</v>
          </cell>
          <cell r="J1022">
            <v>2655780</v>
          </cell>
          <cell r="K1022">
            <v>0</v>
          </cell>
          <cell r="L1022">
            <v>2655780</v>
          </cell>
          <cell r="M1022">
            <v>1327890</v>
          </cell>
          <cell r="N1022">
            <v>1327890</v>
          </cell>
        </row>
        <row r="1023">
          <cell r="A1023">
            <v>395</v>
          </cell>
          <cell r="B1023">
            <v>1405</v>
          </cell>
          <cell r="C1023">
            <v>43151</v>
          </cell>
          <cell r="D1023" t="str">
            <v>FABIO NELSON BARRAGAN PERILLA</v>
          </cell>
          <cell r="E1023">
            <v>31</v>
          </cell>
          <cell r="F1023" t="str">
            <v>RESOLUCION</v>
          </cell>
          <cell r="G1023">
            <v>1343</v>
          </cell>
          <cell r="H1023">
            <v>43151</v>
          </cell>
          <cell r="I1023" t="str">
            <v>AYUDA TEMPORAL A LAS FAMILIAS DE VARIAS LOCALIDADES, PARA RELOCALIZACIÓN DE HOGARES LOCALIZADOS EN ZONAS DE ALTO RIESGO NO MITIGABLE ID:2011-4-12644, LOCALIDAD:04 SAN CRISTÓBAL, UPZ:32 SAN BLAS</v>
          </cell>
          <cell r="J1023">
            <v>2899932</v>
          </cell>
          <cell r="K1023">
            <v>0</v>
          </cell>
          <cell r="L1023">
            <v>2899932</v>
          </cell>
          <cell r="M1023">
            <v>1449966</v>
          </cell>
          <cell r="N1023">
            <v>1449966</v>
          </cell>
        </row>
        <row r="1024">
          <cell r="A1024">
            <v>395</v>
          </cell>
          <cell r="B1024">
            <v>1406</v>
          </cell>
          <cell r="C1024">
            <v>43151</v>
          </cell>
          <cell r="D1024" t="str">
            <v>MARYLIN  REALPE CAMACHO</v>
          </cell>
          <cell r="E1024">
            <v>31</v>
          </cell>
          <cell r="F1024" t="str">
            <v>RESOLUCION</v>
          </cell>
          <cell r="G1024">
            <v>1344</v>
          </cell>
          <cell r="H1024">
            <v>43151</v>
          </cell>
          <cell r="I1024" t="str">
            <v>AYUDA TEMPORAL A LAS FAMILIAS DE VARIAS LOCALIDADES, PARA RELOCALIZACIÓN DE HOGARES LOCALIZADOS EN ZONAS DE ALTO RIESGO NO MITIGABLE ID:2014-OTR-00877, LOCALIDAD:03 SANTA FE, UPZ:96 LOURDES, SECTOR:CASA 1</v>
          </cell>
          <cell r="J1024">
            <v>2551518</v>
          </cell>
          <cell r="K1024">
            <v>0</v>
          </cell>
          <cell r="L1024">
            <v>2551518</v>
          </cell>
          <cell r="M1024">
            <v>1275759</v>
          </cell>
          <cell r="N1024">
            <v>1275759</v>
          </cell>
        </row>
        <row r="1025">
          <cell r="A1025">
            <v>395</v>
          </cell>
          <cell r="B1025">
            <v>1407</v>
          </cell>
          <cell r="C1025">
            <v>43151</v>
          </cell>
          <cell r="D1025" t="str">
            <v>CLAUDIA MARCELA RUBIO MANCIPE</v>
          </cell>
          <cell r="E1025">
            <v>31</v>
          </cell>
          <cell r="F1025" t="str">
            <v>RESOLUCION</v>
          </cell>
          <cell r="G1025">
            <v>1307</v>
          </cell>
          <cell r="H1025">
            <v>43151</v>
          </cell>
          <cell r="I1025" t="str">
            <v>AYUDA TEMPORAL A LAS FAMILIAS DE VARIAS LOCALIDADES, PARA RELOCALIZACIÓN DE HOGARES LOCALIZADOS EN ZONAS DE ALTO RIESGO NO MITIGABLE ID:2015-19-14753, LOCALIDAD:19 CIUDAD BOLÍVAR, UPZ:67 LUCERO</v>
          </cell>
          <cell r="J1025">
            <v>2844810</v>
          </cell>
          <cell r="K1025">
            <v>0</v>
          </cell>
          <cell r="L1025">
            <v>2844810</v>
          </cell>
          <cell r="M1025">
            <v>1422405</v>
          </cell>
          <cell r="N1025">
            <v>1422405</v>
          </cell>
        </row>
        <row r="1026">
          <cell r="A1026">
            <v>395</v>
          </cell>
          <cell r="B1026">
            <v>1408</v>
          </cell>
          <cell r="C1026">
            <v>43151</v>
          </cell>
          <cell r="D1026" t="str">
            <v>MARYSOL  ROJAS</v>
          </cell>
          <cell r="E1026">
            <v>31</v>
          </cell>
          <cell r="F1026" t="str">
            <v>RESOLUCION</v>
          </cell>
          <cell r="G1026">
            <v>1308</v>
          </cell>
          <cell r="H1026">
            <v>43151</v>
          </cell>
          <cell r="I1026" t="str">
            <v>AYUDA TEMPORAL A LAS FAMILIAS DE VARIAS LOCALIDADES, PARA RELOCALIZACIÓN DE HOGARES LOCALIZADOS EN ZONAS DE ALTO RIESGO NO MITIGABLE ID:2014-Q20-01175, LOCALIDAD:04 SAN CRISTÓBAL, UPZ:50 LA GLORIA, SECTOR:LA CHIGUAZA</v>
          </cell>
          <cell r="J1026">
            <v>2358570</v>
          </cell>
          <cell r="K1026">
            <v>0</v>
          </cell>
          <cell r="L1026">
            <v>2358570</v>
          </cell>
          <cell r="M1026">
            <v>1179285</v>
          </cell>
          <cell r="N1026">
            <v>1179285</v>
          </cell>
        </row>
        <row r="1027">
          <cell r="A1027">
            <v>395</v>
          </cell>
          <cell r="B1027">
            <v>1410</v>
          </cell>
          <cell r="C1027">
            <v>43151</v>
          </cell>
          <cell r="D1027" t="str">
            <v>LUCILA  MEDINA</v>
          </cell>
          <cell r="E1027">
            <v>31</v>
          </cell>
          <cell r="F1027" t="str">
            <v>RESOLUCION</v>
          </cell>
          <cell r="G1027">
            <v>1346</v>
          </cell>
          <cell r="H1027">
            <v>43151</v>
          </cell>
          <cell r="I1027" t="str">
            <v>AYUDA TEMPORAL A LAS FAMILIAS DE VARIAS LOCALIDADES, PARA RELOCALIZACIÓN DE HOGARES LOCALIZADOS EN ZONAS DE ALTO RIESGO NO MITIGABLE ID:2011-4-12683, LOCALIDAD:04 SAN CRISTÓBAL, UPZ:32 SAN BLAS</v>
          </cell>
          <cell r="J1027">
            <v>2474274</v>
          </cell>
          <cell r="K1027">
            <v>0</v>
          </cell>
          <cell r="L1027">
            <v>2474274</v>
          </cell>
          <cell r="M1027">
            <v>1237137</v>
          </cell>
          <cell r="N1027">
            <v>1237137</v>
          </cell>
        </row>
        <row r="1028">
          <cell r="A1028">
            <v>395</v>
          </cell>
          <cell r="B1028">
            <v>1411</v>
          </cell>
          <cell r="C1028">
            <v>43151</v>
          </cell>
          <cell r="D1028" t="str">
            <v>ARQUIMEDES  VEGA ANZOLA</v>
          </cell>
          <cell r="E1028">
            <v>31</v>
          </cell>
          <cell r="F1028" t="str">
            <v>RESOLUCION</v>
          </cell>
          <cell r="G1028">
            <v>1309</v>
          </cell>
          <cell r="H1028">
            <v>43151</v>
          </cell>
          <cell r="I1028" t="str">
            <v>AYUDA TEMPORAL A LAS FAMILIAS DE VARIAS LOCALIDADES, PARA RELOCALIZACIÓN DE HOGARES LOCALIZADOS EN ZONAS DE ALTO RIESGO NO MITIGABLE ID:2015-D227-00001, LOCALIDAD:04 SAN CRISTÓBAL, UPZ:51 LOS LIBERTADORES, SECTOR:SANTA TERESITA</v>
          </cell>
          <cell r="J1028">
            <v>2474274</v>
          </cell>
          <cell r="K1028">
            <v>0</v>
          </cell>
          <cell r="L1028">
            <v>2474274</v>
          </cell>
          <cell r="M1028">
            <v>1237137</v>
          </cell>
          <cell r="N1028">
            <v>1237137</v>
          </cell>
        </row>
        <row r="1029">
          <cell r="A1029">
            <v>395</v>
          </cell>
          <cell r="B1029">
            <v>1413</v>
          </cell>
          <cell r="C1029">
            <v>43151</v>
          </cell>
          <cell r="D1029" t="str">
            <v>MARIA AURORA BELLO</v>
          </cell>
          <cell r="E1029">
            <v>31</v>
          </cell>
          <cell r="F1029" t="str">
            <v>RESOLUCION</v>
          </cell>
          <cell r="G1029">
            <v>1349</v>
          </cell>
          <cell r="H1029">
            <v>43151</v>
          </cell>
          <cell r="I1029" t="str">
            <v>AYUDA TEMPORAL A LAS FAMILIAS DE VARIAS LOCALIDADES, PARA RELOCALIZACIÓN DE HOGARES LOCALIZADOS EN ZONAS DE ALTO RIESGO NO MITIGABLE ID:2013-Q21-00419, LOCALIDAD:19 CIUDAD BOLÍVAR, UPZ:67 LUCERO, SECTOR:BRAZO DERECHO DE LIMAS</v>
          </cell>
          <cell r="J1029">
            <v>2706270</v>
          </cell>
          <cell r="K1029">
            <v>0</v>
          </cell>
          <cell r="L1029">
            <v>2706270</v>
          </cell>
          <cell r="M1029">
            <v>1353135</v>
          </cell>
          <cell r="N1029">
            <v>1353135</v>
          </cell>
        </row>
        <row r="1030">
          <cell r="A1030">
            <v>395</v>
          </cell>
          <cell r="B1030">
            <v>1414</v>
          </cell>
          <cell r="C1030">
            <v>43151</v>
          </cell>
          <cell r="D1030" t="str">
            <v>MARIA BEATRIZ NARANJO PATARROYO</v>
          </cell>
          <cell r="E1030">
            <v>31</v>
          </cell>
          <cell r="F1030" t="str">
            <v>RESOLUCION</v>
          </cell>
          <cell r="G1030">
            <v>1310</v>
          </cell>
          <cell r="H1030">
            <v>43151</v>
          </cell>
          <cell r="I1030" t="str">
            <v>AYUDA TEMPORAL A LAS FAMILIAS DE VARIAS LOCALIDADES, PARA RELOCALIZACIÓN DE HOGARES LOCALIZADOS EN ZONAS DE ALTO RIESGO NO MITIGABLE ID:2014-OTR-00880, LOCALIDAD:03 SANTA FE, UPZ:96 LOURDES, SECTOR:CASA 2</v>
          </cell>
          <cell r="J1030">
            <v>2550450</v>
          </cell>
          <cell r="K1030">
            <v>0</v>
          </cell>
          <cell r="L1030">
            <v>2550450</v>
          </cell>
          <cell r="M1030">
            <v>1275225</v>
          </cell>
          <cell r="N1030">
            <v>1275225</v>
          </cell>
        </row>
        <row r="1031">
          <cell r="A1031">
            <v>395</v>
          </cell>
          <cell r="B1031">
            <v>1415</v>
          </cell>
          <cell r="C1031">
            <v>43151</v>
          </cell>
          <cell r="D1031" t="str">
            <v>BAUDILIO  TOLOZA CASTILLO</v>
          </cell>
          <cell r="E1031">
            <v>31</v>
          </cell>
          <cell r="F1031" t="str">
            <v>RESOLUCION</v>
          </cell>
          <cell r="G1031">
            <v>1291</v>
          </cell>
          <cell r="H1031">
            <v>43151</v>
          </cell>
          <cell r="I1031" t="str">
            <v>AYUDA TEMPORAL A LAS FAMILIAS DE VARIAS LOCALIDADES, PARA RELOCALIZACIÓN DE HOGARES LOCALIZADOS EN ZONAS DE ALTO RIESGO NO MITIGABLE ID:2014-LC-00790, LOCALIDAD:19 CIUDAD BOLÍVAR, UPZ:69 ISMAEL PERDOMO</v>
          </cell>
          <cell r="J1031">
            <v>2882880</v>
          </cell>
          <cell r="K1031">
            <v>0</v>
          </cell>
          <cell r="L1031">
            <v>2882880</v>
          </cell>
          <cell r="M1031">
            <v>1441440</v>
          </cell>
          <cell r="N1031">
            <v>1441440</v>
          </cell>
        </row>
        <row r="1032">
          <cell r="A1032">
            <v>395</v>
          </cell>
          <cell r="B1032">
            <v>1416</v>
          </cell>
          <cell r="C1032">
            <v>43151</v>
          </cell>
          <cell r="D1032" t="str">
            <v>DIANA MARCELA OSORIO MORALES</v>
          </cell>
          <cell r="E1032">
            <v>31</v>
          </cell>
          <cell r="F1032" t="str">
            <v>RESOLUCION</v>
          </cell>
          <cell r="G1032">
            <v>1292</v>
          </cell>
          <cell r="H1032">
            <v>43151</v>
          </cell>
          <cell r="I1032" t="str">
            <v>AYUDA TEMPORAL A LAS FAMILIAS DE VARIAS LOCALIDADES, PARA RELOCALIZACIÓN DE HOGARES LOCALIZADOS EN ZONAS DE ALTO RIESGO NO MITIGABLE ID:2014-LC-00791, LOCALIDAD:19 CIUDAD BOLÍVAR, UPZ:69 ISMAEL PERDOMO</v>
          </cell>
          <cell r="J1032">
            <v>2439360</v>
          </cell>
          <cell r="K1032">
            <v>0</v>
          </cell>
          <cell r="L1032">
            <v>2439360</v>
          </cell>
          <cell r="M1032">
            <v>1219680</v>
          </cell>
          <cell r="N1032">
            <v>1219680</v>
          </cell>
        </row>
        <row r="1033">
          <cell r="A1033">
            <v>395</v>
          </cell>
          <cell r="B1033">
            <v>1417</v>
          </cell>
          <cell r="C1033">
            <v>43151</v>
          </cell>
          <cell r="D1033" t="str">
            <v>YURY JOHANNA BRICEÑO MORENO</v>
          </cell>
          <cell r="E1033">
            <v>31</v>
          </cell>
          <cell r="F1033" t="str">
            <v>RESOLUCION</v>
          </cell>
          <cell r="G1033">
            <v>1311</v>
          </cell>
          <cell r="H1033">
            <v>43151</v>
          </cell>
          <cell r="I1033" t="str">
            <v>AYUDA TEMPORAL A LAS FAMILIAS DE VARIAS LOCALIDADES, PARA RELOCALIZACIÓN DE HOGARES LOCALIZADOS EN ZONAS DE ALTO RIESGO NO MITIGABLE ID:2014-OTR-00910, LOCALIDAD:03 SANTA FE, UPZ:96 LOURDES, SECTOR:CASA 3</v>
          </cell>
          <cell r="J1033">
            <v>2553138</v>
          </cell>
          <cell r="K1033">
            <v>0</v>
          </cell>
          <cell r="L1033">
            <v>2553138</v>
          </cell>
          <cell r="M1033">
            <v>1276569</v>
          </cell>
          <cell r="N1033">
            <v>1276569</v>
          </cell>
        </row>
        <row r="1034">
          <cell r="A1034">
            <v>395</v>
          </cell>
          <cell r="B1034">
            <v>1418</v>
          </cell>
          <cell r="C1034">
            <v>43151</v>
          </cell>
          <cell r="D1034" t="str">
            <v>FLOR MARINA BAQUERO UMAÑA</v>
          </cell>
          <cell r="E1034">
            <v>31</v>
          </cell>
          <cell r="F1034" t="str">
            <v>RESOLUCION</v>
          </cell>
          <cell r="G1034">
            <v>1293</v>
          </cell>
          <cell r="H1034">
            <v>43151</v>
          </cell>
          <cell r="I1034" t="str">
            <v>AYUDA TEMPORAL A LAS FAMILIAS DE VARIAS LOCALIDADES, PARA RELOCALIZACIÓN DE HOGARES LOCALIZADOS EN ZONAS DE ALTO RIESGO NO MITIGABLE ID:2015-Q03-01481, LOCALIDAD:19 CIUDAD BOLÍVAR, UPZ:66 SAN FRANCISCO, SECTOR:LIMAS</v>
          </cell>
          <cell r="J1034">
            <v>2887073</v>
          </cell>
          <cell r="K1034">
            <v>0</v>
          </cell>
          <cell r="L1034">
            <v>2887073</v>
          </cell>
          <cell r="M1034">
            <v>1649756</v>
          </cell>
          <cell r="N1034">
            <v>1237317</v>
          </cell>
        </row>
        <row r="1035">
          <cell r="A1035">
            <v>395</v>
          </cell>
          <cell r="B1035">
            <v>1419</v>
          </cell>
          <cell r="C1035">
            <v>43151</v>
          </cell>
          <cell r="D1035" t="str">
            <v>JUAN EVANGELISTA NARANJO PATARROYO</v>
          </cell>
          <cell r="E1035">
            <v>31</v>
          </cell>
          <cell r="F1035" t="str">
            <v>RESOLUCION</v>
          </cell>
          <cell r="G1035">
            <v>1312</v>
          </cell>
          <cell r="H1035">
            <v>43151</v>
          </cell>
          <cell r="I1035" t="str">
            <v>AYUDA TEMPORAL A LAS FAMILIAS DE VARIAS LOCALIDADES, PARA RELOCALIZACIÓN DE HOGARES LOCALIZADOS EN ZONAS DE ALTO RIESGO NO MITIGABLE ID:2014-OTR-00886, LOCALIDAD:03 SANTA FE, UPZ:96 LOURDES, SECTOR:CASA 2</v>
          </cell>
          <cell r="J1035">
            <v>3014166</v>
          </cell>
          <cell r="K1035">
            <v>0</v>
          </cell>
          <cell r="L1035">
            <v>3014166</v>
          </cell>
          <cell r="M1035">
            <v>1507083</v>
          </cell>
          <cell r="N1035">
            <v>1507083</v>
          </cell>
        </row>
        <row r="1036">
          <cell r="A1036">
            <v>395</v>
          </cell>
          <cell r="B1036">
            <v>1420</v>
          </cell>
          <cell r="C1036">
            <v>43151</v>
          </cell>
          <cell r="D1036" t="str">
            <v>ALEXANDRA  REY GUTIERREZ</v>
          </cell>
          <cell r="E1036">
            <v>31</v>
          </cell>
          <cell r="F1036" t="str">
            <v>RESOLUCION</v>
          </cell>
          <cell r="G1036">
            <v>1313</v>
          </cell>
          <cell r="H1036">
            <v>43151</v>
          </cell>
          <cell r="I1036" t="str">
            <v>AYUDA TEMPORAL A LAS FAMILIAS DE VARIAS LOCALIDADES, PARA RELOCALIZACIÓN DE HOGARES LOCALIZADOS EN ZONAS DE ALTO RIESGO NO MITIGABLE ID:2012-T314-05, LOCALIDAD:04 SAN CRISTÓBAL, UPZ:50 LA GLORIA,</v>
          </cell>
          <cell r="J1036">
            <v>3060180</v>
          </cell>
          <cell r="K1036">
            <v>0</v>
          </cell>
          <cell r="L1036">
            <v>3060180</v>
          </cell>
          <cell r="M1036">
            <v>1530090</v>
          </cell>
          <cell r="N1036">
            <v>1530090</v>
          </cell>
        </row>
        <row r="1037">
          <cell r="A1037">
            <v>395</v>
          </cell>
          <cell r="B1037">
            <v>1421</v>
          </cell>
          <cell r="C1037">
            <v>43151</v>
          </cell>
          <cell r="D1037" t="str">
            <v>LUZ MARINA TUNJUELO BARBOSA</v>
          </cell>
          <cell r="E1037">
            <v>31</v>
          </cell>
          <cell r="F1037" t="str">
            <v>RESOLUCION</v>
          </cell>
          <cell r="G1037">
            <v>1314</v>
          </cell>
          <cell r="H1037">
            <v>43151</v>
          </cell>
          <cell r="I1037" t="str">
            <v>AYUDA TEMPORAL A LAS FAMILIAS DE VARIAS LOCALIDADES, PARA RELOCALIZACIÓN DE HOGARES LOCALIZADOS EN ZONAS DE ALTO RIESGO NO MITIGABLE ID:2011-4-12662, LOCALIDAD:04 SAN CRISTÓBAL, UPZ:32 SAN BLAS, SECTOR:</v>
          </cell>
          <cell r="J1037">
            <v>2590566</v>
          </cell>
          <cell r="K1037">
            <v>0</v>
          </cell>
          <cell r="L1037">
            <v>2590566</v>
          </cell>
          <cell r="M1037">
            <v>1295283</v>
          </cell>
          <cell r="N1037">
            <v>1295283</v>
          </cell>
        </row>
        <row r="1038">
          <cell r="A1038">
            <v>395</v>
          </cell>
          <cell r="B1038">
            <v>1422</v>
          </cell>
          <cell r="C1038">
            <v>43151</v>
          </cell>
          <cell r="D1038" t="str">
            <v>CLARA INES ESCOBAR DE BENAVIDES</v>
          </cell>
          <cell r="E1038">
            <v>31</v>
          </cell>
          <cell r="F1038" t="str">
            <v>RESOLUCION</v>
          </cell>
          <cell r="G1038">
            <v>1315</v>
          </cell>
          <cell r="H1038">
            <v>43151</v>
          </cell>
          <cell r="I1038" t="str">
            <v>AYUDA TEMPORAL A LAS FAMILIAS DE VARIAS LOCALIDADES, PARA RELOCALIZACIÓN DE HOGARES LOCALIZADOS EN ZONAS DE ALTO RIESGO NO MITIGABLE ID:2014-Q04-00825, LOCALIDAD:19 CIUDAD BOLÍVAR, UPZ:67 LUCERO, SECTOR:PEÑA COLORADA</v>
          </cell>
          <cell r="J1038">
            <v>2706270</v>
          </cell>
          <cell r="K1038">
            <v>0</v>
          </cell>
          <cell r="L1038">
            <v>2706270</v>
          </cell>
          <cell r="M1038">
            <v>1353135</v>
          </cell>
          <cell r="N1038">
            <v>1353135</v>
          </cell>
        </row>
        <row r="1039">
          <cell r="A1039">
            <v>395</v>
          </cell>
          <cell r="B1039">
            <v>1423</v>
          </cell>
          <cell r="C1039">
            <v>43151</v>
          </cell>
          <cell r="D1039" t="str">
            <v>MAURICIO  CAMARGO RODRIGUEZ</v>
          </cell>
          <cell r="E1039">
            <v>31</v>
          </cell>
          <cell r="F1039" t="str">
            <v>RESOLUCION</v>
          </cell>
          <cell r="G1039">
            <v>1316</v>
          </cell>
          <cell r="H1039">
            <v>43151</v>
          </cell>
          <cell r="I1039" t="str">
            <v>AYUDA TEMPORAL A LAS FAMILIAS DE VARIAS LOCALIDADES, PARA RELOCALIZACIÓN DE HOGARES LOCALIZADOS EN ZONAS DE ALTO RIESGO NO MITIGABLE ID:2014-OTR-01166, LOCALIDAD:11 SUBA, UPZ:71 TIBABUYES, SECTOR:GAVILANES</v>
          </cell>
          <cell r="J1039">
            <v>2586000</v>
          </cell>
          <cell r="K1039">
            <v>0</v>
          </cell>
          <cell r="L1039">
            <v>2586000</v>
          </cell>
          <cell r="M1039">
            <v>1293000</v>
          </cell>
          <cell r="N1039">
            <v>1293000</v>
          </cell>
        </row>
        <row r="1040">
          <cell r="A1040">
            <v>395</v>
          </cell>
          <cell r="B1040">
            <v>1424</v>
          </cell>
          <cell r="C1040">
            <v>43151</v>
          </cell>
          <cell r="D1040" t="str">
            <v>GREGORIA  VARGAS</v>
          </cell>
          <cell r="E1040">
            <v>31</v>
          </cell>
          <cell r="F1040" t="str">
            <v>RESOLUCION</v>
          </cell>
          <cell r="G1040">
            <v>1317</v>
          </cell>
          <cell r="H1040">
            <v>43151</v>
          </cell>
          <cell r="I1040" t="str">
            <v>AYUDA TEMPORAL A LAS FAMILIAS DE VARIAS LOCALIDADES, PARA RELOCALIZACIÓN DE HOGARES LOCALIZADOS EN ZONAS DE ALTO RIESGO NO MITIGABLE ID:2014-OTR-00872, LOCALIDAD:03 SANTA FE, UPZ:96 LOURDES, SECTOR:CASA 1</v>
          </cell>
          <cell r="J1040">
            <v>2281062</v>
          </cell>
          <cell r="K1040">
            <v>0</v>
          </cell>
          <cell r="L1040">
            <v>2281062</v>
          </cell>
          <cell r="M1040">
            <v>1140531</v>
          </cell>
          <cell r="N1040">
            <v>1140531</v>
          </cell>
        </row>
        <row r="1041">
          <cell r="A1041">
            <v>395</v>
          </cell>
          <cell r="B1041">
            <v>1425</v>
          </cell>
          <cell r="C1041">
            <v>43151</v>
          </cell>
          <cell r="D1041" t="str">
            <v>NELLY ESPERANZA CAMARGO LOZANO</v>
          </cell>
          <cell r="E1041">
            <v>31</v>
          </cell>
          <cell r="F1041" t="str">
            <v>RESOLUCION</v>
          </cell>
          <cell r="G1041">
            <v>1318</v>
          </cell>
          <cell r="H1041">
            <v>43151</v>
          </cell>
          <cell r="I1041" t="str">
            <v>AYUDA TEMPORAL A LAS FAMILIAS DE VARIAS LOCALIDADES, PARA RELOCALIZACIÓN DE HOGARES LOCALIZADOS EN ZONAS DE ALTO RIESGO NO MITIGABLE ID:2015-3-14763, LOCALIDAD:03 SANTA FE, UPZ:96 LOURDES.</v>
          </cell>
          <cell r="J1041">
            <v>2844810</v>
          </cell>
          <cell r="K1041">
            <v>0</v>
          </cell>
          <cell r="L1041">
            <v>2844810</v>
          </cell>
          <cell r="M1041">
            <v>1422405</v>
          </cell>
          <cell r="N1041">
            <v>1422405</v>
          </cell>
        </row>
        <row r="1042">
          <cell r="A1042">
            <v>395</v>
          </cell>
          <cell r="B1042">
            <v>1426</v>
          </cell>
          <cell r="C1042">
            <v>43151</v>
          </cell>
          <cell r="D1042" t="str">
            <v>EZEQUIEL  ARISTIZABAL RAMOS</v>
          </cell>
          <cell r="E1042">
            <v>31</v>
          </cell>
          <cell r="F1042" t="str">
            <v>RESOLUCION</v>
          </cell>
          <cell r="G1042">
            <v>1345</v>
          </cell>
          <cell r="H1042">
            <v>43151</v>
          </cell>
          <cell r="I1042" t="str">
            <v>AYUDA TEMPORAL A LAS FAMILIAS DE VARIAS LOCALIDADES, PARA RELOCALIZACIÓN DE HOGARES LOCALIZADOS EN ZONAS DE ALTO RIESGO NO MITIGABLE ID:2014-OTR-00899, LOCALIDAD:03 SANTA FE, UPZ:96 LOURDES, SECTOR:CASA 3</v>
          </cell>
          <cell r="J1042">
            <v>3014166</v>
          </cell>
          <cell r="K1042">
            <v>0</v>
          </cell>
          <cell r="L1042">
            <v>3014166</v>
          </cell>
          <cell r="M1042">
            <v>1507083</v>
          </cell>
          <cell r="N1042">
            <v>1507083</v>
          </cell>
        </row>
        <row r="1043">
          <cell r="A1043">
            <v>395</v>
          </cell>
          <cell r="B1043">
            <v>1427</v>
          </cell>
          <cell r="C1043">
            <v>43151</v>
          </cell>
          <cell r="D1043" t="str">
            <v>MARCELINA  VARGAS GONZALEZ</v>
          </cell>
          <cell r="E1043">
            <v>31</v>
          </cell>
          <cell r="F1043" t="str">
            <v>RESOLUCION</v>
          </cell>
          <cell r="G1043">
            <v>1305</v>
          </cell>
          <cell r="H1043">
            <v>43151</v>
          </cell>
          <cell r="I1043" t="str">
            <v>AYUDA TEMPORAL A LAS FAMILIAS DE VARIAS LOCALIDADES, PARA RELOCALIZACIÓN DE HOGARES LOCALIZADOS EN ZONAS DE ALTO RIESGO NO MITIGABLE ID:2005-19-5791, LOCALIDAD:19 CIUDAD BOLÍVAR, UPZ:67 LUCERO, SECTOR:LIMAS</v>
          </cell>
          <cell r="J1043">
            <v>3054150</v>
          </cell>
          <cell r="K1043">
            <v>0</v>
          </cell>
          <cell r="L1043">
            <v>3054150</v>
          </cell>
          <cell r="M1043">
            <v>1527075</v>
          </cell>
          <cell r="N1043">
            <v>1527075</v>
          </cell>
        </row>
        <row r="1044">
          <cell r="A1044">
            <v>395</v>
          </cell>
          <cell r="B1044">
            <v>1428</v>
          </cell>
          <cell r="C1044">
            <v>43152</v>
          </cell>
          <cell r="D1044" t="str">
            <v>JOSE IGNACIO MARTINEZ RODRIGUEZ</v>
          </cell>
          <cell r="E1044">
            <v>31</v>
          </cell>
          <cell r="F1044" t="str">
            <v>RESOLUCION</v>
          </cell>
          <cell r="G1044">
            <v>1348</v>
          </cell>
          <cell r="H1044">
            <v>43152</v>
          </cell>
          <cell r="I1044" t="str">
            <v>AYUDA TEMPORAL A LAS FAMILIAS DE VARIAS LOCALIDADES, PARA RELOCALIZACIÓN DE HOGARES LOCALIZADOS EN ZONAS DE ALTO RIESGO NO MITIGABLE ID:2011-4-12646, LOCALIDAD:04 SAN CRISTÓBAL, UPZ:32 SAN BLAS, SECTOR:</v>
          </cell>
          <cell r="J1044">
            <v>2213148</v>
          </cell>
          <cell r="K1044">
            <v>0</v>
          </cell>
          <cell r="L1044">
            <v>2213148</v>
          </cell>
          <cell r="M1044">
            <v>1106574</v>
          </cell>
          <cell r="N1044">
            <v>1106574</v>
          </cell>
        </row>
        <row r="1045">
          <cell r="A1045">
            <v>395</v>
          </cell>
          <cell r="B1045">
            <v>1429</v>
          </cell>
          <cell r="C1045">
            <v>43152</v>
          </cell>
          <cell r="D1045" t="str">
            <v>BLANCA CONSUELO BEJARANO</v>
          </cell>
          <cell r="E1045">
            <v>31</v>
          </cell>
          <cell r="F1045" t="str">
            <v>RESOLUCION</v>
          </cell>
          <cell r="G1045">
            <v>1319</v>
          </cell>
          <cell r="H1045">
            <v>43152</v>
          </cell>
          <cell r="I1045" t="str">
            <v>AYUDA TEMPORAL A LAS FAMILIAS DE VARIAS LOCALIDADES, PARA RELOCALIZACIÓN DE HOGARES LOCALIZADOS EN ZONAS DE ALTO RIESGO NO MITIGABLE ID:2005-4-6465, LOCALIDAD:04 SAN CRISTÓBAL, UPZ:51 LOS LIBERTADORES, SECTOR:</v>
          </cell>
          <cell r="J1045">
            <v>2213148</v>
          </cell>
          <cell r="K1045">
            <v>0</v>
          </cell>
          <cell r="L1045">
            <v>2213148</v>
          </cell>
          <cell r="M1045">
            <v>1106574</v>
          </cell>
          <cell r="N1045">
            <v>1106574</v>
          </cell>
        </row>
        <row r="1046">
          <cell r="A1046">
            <v>395</v>
          </cell>
          <cell r="B1046">
            <v>1430</v>
          </cell>
          <cell r="C1046">
            <v>43152</v>
          </cell>
          <cell r="D1046" t="str">
            <v>MARTHA FABIOLA CAMACHO ROJAS</v>
          </cell>
          <cell r="E1046">
            <v>31</v>
          </cell>
          <cell r="F1046" t="str">
            <v>RESOLUCION</v>
          </cell>
          <cell r="G1046">
            <v>1320</v>
          </cell>
          <cell r="H1046">
            <v>43152</v>
          </cell>
          <cell r="I1046" t="str">
            <v>AYUDA TEMPORAL A LAS FAMILIAS DE VARIAS LOCALIDADES, PARA RELOCALIZACIÓN DE HOGARES LOCALIZADOS EN ZONAS DE ALTO RIESGO NO MITIGABLE ID:2014-OTR-00871, LOCALIDAD:03 SANTA FE, UPZ:96 LOURDES, SECTOR:CASA 1</v>
          </cell>
          <cell r="J1046">
            <v>2550450</v>
          </cell>
          <cell r="K1046">
            <v>0</v>
          </cell>
          <cell r="L1046">
            <v>2550450</v>
          </cell>
          <cell r="M1046">
            <v>1275225</v>
          </cell>
          <cell r="N1046">
            <v>1275225</v>
          </cell>
        </row>
        <row r="1047">
          <cell r="A1047">
            <v>395</v>
          </cell>
          <cell r="B1047">
            <v>1431</v>
          </cell>
          <cell r="C1047">
            <v>43152</v>
          </cell>
          <cell r="D1047" t="str">
            <v>EZEQUIEL  TORRES</v>
          </cell>
          <cell r="E1047">
            <v>31</v>
          </cell>
          <cell r="F1047" t="str">
            <v>RESOLUCION</v>
          </cell>
          <cell r="G1047">
            <v>1321</v>
          </cell>
          <cell r="H1047">
            <v>43152</v>
          </cell>
          <cell r="I1047" t="str">
            <v>AYUDA TEMPORAL A LAS FAMILIAS DE VARIAS LOCALIDADES, PARA RELOCALIZACIÓN DE HOGARES LOCALIZADOS EN ZONAS DE ALTO RIESGO NO MITIGABLE ID:2014-OTR-00889, LOCALIDAD:03 SANTA FE, UPZ:96 LOURDES, SECTOR:CASA 2</v>
          </cell>
          <cell r="J1047">
            <v>2213148</v>
          </cell>
          <cell r="K1047">
            <v>0</v>
          </cell>
          <cell r="L1047">
            <v>2213148</v>
          </cell>
          <cell r="M1047">
            <v>1106574</v>
          </cell>
          <cell r="N1047">
            <v>1106574</v>
          </cell>
        </row>
        <row r="1048">
          <cell r="A1048">
            <v>395</v>
          </cell>
          <cell r="B1048">
            <v>1432</v>
          </cell>
          <cell r="C1048">
            <v>43152</v>
          </cell>
          <cell r="D1048" t="str">
            <v>JOSE FERNANDO MENDEZ GARCIA</v>
          </cell>
          <cell r="E1048">
            <v>31</v>
          </cell>
          <cell r="F1048" t="str">
            <v>RESOLUCION</v>
          </cell>
          <cell r="G1048">
            <v>1322</v>
          </cell>
          <cell r="H1048">
            <v>43152</v>
          </cell>
          <cell r="I1048" t="str">
            <v>AYUDA TEMPORAL A LAS FAMILIAS DE VARIAS LOCALIDADES, PARA RELOCALIZACIÓN DE HOGARES LOCALIZADOS EN ZONAS DE ALTO RIESGO NO MITIGABLE ID:2014-OTR-00902, LOCALIDAD:03 SANTA FE, UPZ:96 LOURDES, SECTOR:CASA 3</v>
          </cell>
          <cell r="J1048">
            <v>2744310</v>
          </cell>
          <cell r="K1048">
            <v>0</v>
          </cell>
          <cell r="L1048">
            <v>2744310</v>
          </cell>
          <cell r="M1048">
            <v>1372155</v>
          </cell>
          <cell r="N1048">
            <v>1372155</v>
          </cell>
        </row>
        <row r="1049">
          <cell r="A1049">
            <v>395</v>
          </cell>
          <cell r="B1049">
            <v>1433</v>
          </cell>
          <cell r="C1049">
            <v>43152</v>
          </cell>
          <cell r="D1049" t="str">
            <v>SANDRA  GORDILLO CARREÑO</v>
          </cell>
          <cell r="E1049">
            <v>31</v>
          </cell>
          <cell r="F1049" t="str">
            <v>RESOLUCION</v>
          </cell>
          <cell r="G1049">
            <v>1323</v>
          </cell>
          <cell r="H1049">
            <v>43152</v>
          </cell>
          <cell r="I1049" t="str">
            <v>AYUDA TEMPORAL A LAS FAMILIAS DE VARIAS LOCALIDADES, PARA RELOCALIZACIÓN DE HOGARES LOCALIZADOS EN ZONAS DE ALTO RIESGO NO MITIGABLE ID:2011-4-12655, LOCALIDAD:04 SAN CRISTÓBAL, UPZ:32 SAN BLAS, SECTOR:</v>
          </cell>
          <cell r="J1049">
            <v>3170214</v>
          </cell>
          <cell r="K1049">
            <v>0</v>
          </cell>
          <cell r="L1049">
            <v>3170214</v>
          </cell>
          <cell r="M1049">
            <v>1585107</v>
          </cell>
          <cell r="N1049">
            <v>1585107</v>
          </cell>
        </row>
        <row r="1050">
          <cell r="A1050">
            <v>395</v>
          </cell>
          <cell r="B1050">
            <v>1434</v>
          </cell>
          <cell r="C1050">
            <v>43152</v>
          </cell>
          <cell r="D1050" t="str">
            <v>LINA ANDREA MENDEZ GARCIA</v>
          </cell>
          <cell r="E1050">
            <v>31</v>
          </cell>
          <cell r="F1050" t="str">
            <v>RESOLUCION</v>
          </cell>
          <cell r="G1050">
            <v>1324</v>
          </cell>
          <cell r="H1050">
            <v>43152</v>
          </cell>
          <cell r="I1050" t="str">
            <v>AYUDA TEMPORAL A LAS FAMILIAS DE VARIAS LOCALIDADES, PARA RELOCALIZACIÓN DE HOGARES LOCALIZADOS EN ZONAS DE ALTO RIESGO NO MITIGABLE ID:2014-OTR-00903, LOCALIDAD:03 SANTA FE, UPZ:96 LOURDES, SECTOR:CASA 3</v>
          </cell>
          <cell r="J1050">
            <v>3479664</v>
          </cell>
          <cell r="K1050">
            <v>0</v>
          </cell>
          <cell r="L1050">
            <v>3479664</v>
          </cell>
          <cell r="M1050">
            <v>1739832</v>
          </cell>
          <cell r="N1050">
            <v>1739832</v>
          </cell>
        </row>
        <row r="1051">
          <cell r="A1051">
            <v>395</v>
          </cell>
          <cell r="B1051">
            <v>1435</v>
          </cell>
          <cell r="C1051">
            <v>43152</v>
          </cell>
          <cell r="D1051" t="str">
            <v>YAMILE  MENDEZ</v>
          </cell>
          <cell r="E1051">
            <v>31</v>
          </cell>
          <cell r="F1051" t="str">
            <v>RESOLUCION</v>
          </cell>
          <cell r="G1051">
            <v>1325</v>
          </cell>
          <cell r="H1051">
            <v>43152</v>
          </cell>
          <cell r="I1051" t="str">
            <v>AYUDA TEMPORAL A LAS FAMILIAS DE VARIAS LOCALIDADES, PARA RELOCALIZACIÓN DE HOGARES LOCALIZADOS EN ZONAS DE ALTO RIESGO NO MITIGABLE ID:2012-ALES-132, LOCALIDAD:19 CIUDAD BOLÍVAR, UPZ:69 ISMAEL PERDOMO, SECTOR:ALTOS DE LA ESTANCIA</v>
          </cell>
          <cell r="J1051">
            <v>2586000</v>
          </cell>
          <cell r="K1051">
            <v>0</v>
          </cell>
          <cell r="L1051">
            <v>2586000</v>
          </cell>
          <cell r="M1051">
            <v>1293000</v>
          </cell>
          <cell r="N1051">
            <v>1293000</v>
          </cell>
        </row>
        <row r="1052">
          <cell r="A1052">
            <v>395</v>
          </cell>
          <cell r="B1052">
            <v>1437</v>
          </cell>
          <cell r="C1052">
            <v>43152</v>
          </cell>
          <cell r="D1052" t="str">
            <v>MARIA MARGARITA ACERO DE MORENO</v>
          </cell>
          <cell r="E1052">
            <v>31</v>
          </cell>
          <cell r="F1052" t="str">
            <v>RESOLUCION</v>
          </cell>
          <cell r="G1052">
            <v>1295</v>
          </cell>
          <cell r="H1052">
            <v>43152</v>
          </cell>
          <cell r="I1052" t="str">
            <v>AYUDA TEMPORAL A LAS FAMILIAS DE VARIAS LOCALIDADES, PARA RELOCALIZACIÓN DE HOGARES LOCALIZADOS EN ZONAS DE ALTO RIESGO NO MITIGABLE ID:2014-Q03-00994, LOCALIDAD:19 CIUDAD BOLÍVAR, UPZ:66 SAN FRANCISCO, SECTOR:LIMAS</v>
          </cell>
          <cell r="J1052">
            <v>2217222</v>
          </cell>
          <cell r="K1052">
            <v>0</v>
          </cell>
          <cell r="L1052">
            <v>2217222</v>
          </cell>
          <cell r="M1052">
            <v>1108611</v>
          </cell>
          <cell r="N1052">
            <v>1108611</v>
          </cell>
        </row>
        <row r="1053">
          <cell r="A1053">
            <v>395</v>
          </cell>
          <cell r="B1053">
            <v>1438</v>
          </cell>
          <cell r="C1053">
            <v>43152</v>
          </cell>
          <cell r="D1053" t="str">
            <v>ANGIE CENID TAPIA LOZANO</v>
          </cell>
          <cell r="E1053">
            <v>31</v>
          </cell>
          <cell r="F1053" t="str">
            <v>RESOLUCION</v>
          </cell>
          <cell r="G1053">
            <v>1296</v>
          </cell>
          <cell r="H1053">
            <v>43152</v>
          </cell>
          <cell r="I1053" t="str">
            <v>AYUDA TEMPORAL A LAS FAMILIAS DE VARIAS LOCALIDADES, PARA RELOCALIZACIÓN DE HOGARES LOCALIZADOS EN ZONAS DE ALTO RIESGO NO MITIGABLE ID:2015-Q03-01486, LOCALIDAD:19 CIUDAD BOLÍVAR, UPZ:66 SAN FRANCISCO, SECTOR:LIMAS</v>
          </cell>
          <cell r="J1053">
            <v>2213148</v>
          </cell>
          <cell r="K1053">
            <v>0</v>
          </cell>
          <cell r="L1053">
            <v>2213148</v>
          </cell>
          <cell r="M1053">
            <v>1106574</v>
          </cell>
          <cell r="N1053">
            <v>1106574</v>
          </cell>
        </row>
        <row r="1054">
          <cell r="A1054">
            <v>395</v>
          </cell>
          <cell r="B1054">
            <v>1439</v>
          </cell>
          <cell r="C1054">
            <v>43152</v>
          </cell>
          <cell r="D1054" t="str">
            <v>MARISOL  BURGOS</v>
          </cell>
          <cell r="E1054">
            <v>31</v>
          </cell>
          <cell r="F1054" t="str">
            <v>RESOLUCION</v>
          </cell>
          <cell r="G1054">
            <v>1297</v>
          </cell>
          <cell r="H1054">
            <v>43152</v>
          </cell>
          <cell r="I1054" t="str">
            <v>AYUDA TEMPORAL A LAS FAMILIAS DE VARIAS LOCALIDADES, PARA RELOCALIZACIÓN DE HOGARES LOCALIZADOS EN ZONAS DE ALTO RIESGO NO MITIGABLE ID:2014-LC-00813, LOCALIDAD:19 CIUDAD BOLÍVAR, UPZ:69 ISMAEL PERDOMO</v>
          </cell>
          <cell r="J1054">
            <v>2590566</v>
          </cell>
          <cell r="K1054">
            <v>0</v>
          </cell>
          <cell r="L1054">
            <v>2590566</v>
          </cell>
          <cell r="M1054">
            <v>1295283</v>
          </cell>
          <cell r="N1054">
            <v>1295283</v>
          </cell>
        </row>
        <row r="1055">
          <cell r="A1055">
            <v>395</v>
          </cell>
          <cell r="B1055">
            <v>1440</v>
          </cell>
          <cell r="C1055">
            <v>43152</v>
          </cell>
          <cell r="D1055" t="str">
            <v>JOSE ANGEL TORRES SAGANOME</v>
          </cell>
          <cell r="E1055">
            <v>31</v>
          </cell>
          <cell r="F1055" t="str">
            <v>RESOLUCION</v>
          </cell>
          <cell r="G1055">
            <v>1298</v>
          </cell>
          <cell r="H1055">
            <v>43152</v>
          </cell>
          <cell r="I1055" t="str">
            <v>AYUDA TEMPORAL A LAS FAMILIAS DE VARIAS LOCALIDADES, PARA RELOCALIZACIÓN DE HOGARES LOCALIZADOS EN ZONAS DE ALTO RIESGO NO MITIGABLE ID:2014-OTR-01149, LOCALIDAD:11 SUBA, UPZ:71 TIBABUYES, SECTOR:GAVILANES</v>
          </cell>
          <cell r="J1055">
            <v>2550450</v>
          </cell>
          <cell r="K1055">
            <v>0</v>
          </cell>
          <cell r="L1055">
            <v>2550450</v>
          </cell>
          <cell r="M1055">
            <v>1275225</v>
          </cell>
          <cell r="N1055">
            <v>1275225</v>
          </cell>
        </row>
        <row r="1056">
          <cell r="A1056">
            <v>395</v>
          </cell>
          <cell r="B1056">
            <v>1441</v>
          </cell>
          <cell r="C1056">
            <v>43152</v>
          </cell>
          <cell r="D1056" t="str">
            <v>ROSA ELENA TORRES MOLINA</v>
          </cell>
          <cell r="E1056">
            <v>31</v>
          </cell>
          <cell r="F1056" t="str">
            <v>RESOLUCION</v>
          </cell>
          <cell r="G1056">
            <v>1326</v>
          </cell>
          <cell r="H1056">
            <v>43152</v>
          </cell>
          <cell r="I1056" t="str">
            <v>AYUDA TEMPORAL A LAS FAMILIAS DE VARIAS LOCALIDADES, PARA RELOCALIZACIÓN DE HOGARES LOCALIZADOS EN ZONAS DE ALTO RIESGO NO MITIGABLE ID:2011-4-12715, LOCALIDAD:04 SAN CRISTÓBAL, UPZ:32 SAN BLAS, SECTOR:</v>
          </cell>
          <cell r="J1056">
            <v>2390202</v>
          </cell>
          <cell r="K1056">
            <v>0</v>
          </cell>
          <cell r="L1056">
            <v>2390202</v>
          </cell>
          <cell r="M1056">
            <v>1195101</v>
          </cell>
          <cell r="N1056">
            <v>1195101</v>
          </cell>
        </row>
        <row r="1057">
          <cell r="A1057">
            <v>395</v>
          </cell>
          <cell r="B1057">
            <v>1442</v>
          </cell>
          <cell r="C1057">
            <v>43152</v>
          </cell>
          <cell r="D1057" t="str">
            <v>ERIKA LILIANA LAGUNA CUELLAR</v>
          </cell>
          <cell r="E1057">
            <v>31</v>
          </cell>
          <cell r="F1057" t="str">
            <v>RESOLUCION</v>
          </cell>
          <cell r="G1057">
            <v>1327</v>
          </cell>
          <cell r="H1057">
            <v>43152</v>
          </cell>
          <cell r="I1057" t="str">
            <v>AYUDA TEMPORAL A LAS FAMILIAS DE VARIAS LOCALIDADES, PARA RELOCALIZACIÓN DE HOGARES LOCALIZADOS EN ZONAS DE ALTO RIESGO NO MITIGABLE ID:2014-Q09-01199, LOCALIDAD:19 CIUDAD BOLÍVAR, UPZ:67 LUCERO, SECTOR:QUEBRADA TROMPETA</v>
          </cell>
          <cell r="J1057">
            <v>2877096</v>
          </cell>
          <cell r="K1057">
            <v>0</v>
          </cell>
          <cell r="L1057">
            <v>2877096</v>
          </cell>
          <cell r="M1057">
            <v>1438548</v>
          </cell>
          <cell r="N1057">
            <v>1438548</v>
          </cell>
        </row>
        <row r="1058">
          <cell r="A1058">
            <v>395</v>
          </cell>
          <cell r="B1058">
            <v>1443</v>
          </cell>
          <cell r="C1058">
            <v>43152</v>
          </cell>
          <cell r="D1058" t="str">
            <v>IDALI  GUZMAN ROCHA</v>
          </cell>
          <cell r="E1058">
            <v>31</v>
          </cell>
          <cell r="F1058" t="str">
            <v>RESOLUCION</v>
          </cell>
          <cell r="G1058">
            <v>1328</v>
          </cell>
          <cell r="H1058">
            <v>43152</v>
          </cell>
          <cell r="I1058" t="str">
            <v>AYUDA TEMPORAL A LAS FAMILIAS DE VARIAS LOCALIDADES, PARA RELOCALIZACIÓN DE HOGARES LOCALIZADOS EN ZONAS DE ALTO RIESGO NO MITIGABLE ID:2014-Q09-01208, LOCALIDAD:19 CIUDAD BOLÍVAR, UPZ:67 LUCERO, SECTOR:QUEBRADA TROMPETA</v>
          </cell>
          <cell r="J1058">
            <v>2539035</v>
          </cell>
          <cell r="K1058">
            <v>0</v>
          </cell>
          <cell r="L1058">
            <v>2539035</v>
          </cell>
          <cell r="M1058">
            <v>507807</v>
          </cell>
          <cell r="N1058">
            <v>2031228</v>
          </cell>
        </row>
        <row r="1059">
          <cell r="A1059">
            <v>395</v>
          </cell>
          <cell r="B1059">
            <v>1444</v>
          </cell>
          <cell r="C1059">
            <v>43152</v>
          </cell>
          <cell r="D1059" t="str">
            <v>JOSE MONZAIDE MAHECHA GONZALEZ</v>
          </cell>
          <cell r="E1059">
            <v>31</v>
          </cell>
          <cell r="F1059" t="str">
            <v>RESOLUCION</v>
          </cell>
          <cell r="G1059">
            <v>1300</v>
          </cell>
          <cell r="H1059">
            <v>43152</v>
          </cell>
          <cell r="I1059" t="str">
            <v>AYUDA TEMPORAL A LAS FAMILIAS DE VARIAS LOCALIDADES, PARA RELOCALIZACIÓN DE HOGARES LOCALIZADOS EN ZONAS DE ALTO RIESGO NO MITIGABLE ID:2011-4-12667, LOCALIDAD:04 SAN CRISTÓBAL, UPZ:32 SAN BLAS.</v>
          </cell>
          <cell r="J1059">
            <v>2301678</v>
          </cell>
          <cell r="K1059">
            <v>0</v>
          </cell>
          <cell r="L1059">
            <v>2301678</v>
          </cell>
          <cell r="M1059">
            <v>1150839</v>
          </cell>
          <cell r="N1059">
            <v>1150839</v>
          </cell>
        </row>
        <row r="1060">
          <cell r="A1060">
            <v>395</v>
          </cell>
          <cell r="B1060">
            <v>1445</v>
          </cell>
          <cell r="C1060">
            <v>43152</v>
          </cell>
          <cell r="D1060" t="str">
            <v>GLORIA INES MEJIA VARGAS</v>
          </cell>
          <cell r="E1060">
            <v>31</v>
          </cell>
          <cell r="F1060" t="str">
            <v>RESOLUCION</v>
          </cell>
          <cell r="G1060">
            <v>1301</v>
          </cell>
          <cell r="H1060">
            <v>43152</v>
          </cell>
          <cell r="I1060" t="str">
            <v>AYUDA TEMPORAL A LAS FAMILIAS DE VARIAS LOCALIDADES, PARA RELOCALIZACIÓN DE HOGARES LOCALIZADOS EN ZONAS DE ALTO RIESGO NO MITIGABLE ID:2012-T314-11, LOCALIDAD:04 SAN CRISTÓBAL, UPZ:50 LA GLORIA.</v>
          </cell>
          <cell r="J1060">
            <v>2590566</v>
          </cell>
          <cell r="K1060">
            <v>0</v>
          </cell>
          <cell r="L1060">
            <v>2590566</v>
          </cell>
          <cell r="M1060">
            <v>1295283</v>
          </cell>
          <cell r="N1060">
            <v>1295283</v>
          </cell>
        </row>
        <row r="1061">
          <cell r="A1061">
            <v>395</v>
          </cell>
          <cell r="B1061">
            <v>1446</v>
          </cell>
          <cell r="C1061">
            <v>43152</v>
          </cell>
          <cell r="D1061" t="str">
            <v>HERMENCIA EMILIA CASTAÑEDA BERNAL</v>
          </cell>
          <cell r="E1061">
            <v>31</v>
          </cell>
          <cell r="F1061" t="str">
            <v>RESOLUCION</v>
          </cell>
          <cell r="G1061">
            <v>1302</v>
          </cell>
          <cell r="H1061">
            <v>43152</v>
          </cell>
          <cell r="I1061" t="str">
            <v>AYUDA TEMPORAL A LAS FAMILIAS DE VARIAS LOCALIDADES, PARA RELOCALIZACIÓN DE HOGARES LOCALIZADOS EN ZONAS DE ALTO RIESGO NO MITIGABLE ID:2012-19-14070, LOCALIDAD:19 CIUDAD BOLÍVAR, UPZ:68 EL TESORO, SECTOR:QUEBRADA TROMPETA</v>
          </cell>
          <cell r="J1061">
            <v>2892240</v>
          </cell>
          <cell r="K1061">
            <v>0</v>
          </cell>
          <cell r="L1061">
            <v>2892240</v>
          </cell>
          <cell r="M1061">
            <v>1446120</v>
          </cell>
          <cell r="N1061">
            <v>1446120</v>
          </cell>
        </row>
        <row r="1062">
          <cell r="A1062">
            <v>395</v>
          </cell>
          <cell r="B1062">
            <v>1447</v>
          </cell>
          <cell r="C1062">
            <v>43152</v>
          </cell>
          <cell r="D1062" t="str">
            <v>OSWALDO ANTONIO GARCIA GOMEZ</v>
          </cell>
          <cell r="E1062">
            <v>31</v>
          </cell>
          <cell r="F1062" t="str">
            <v>RESOLUCION</v>
          </cell>
          <cell r="G1062">
            <v>1303</v>
          </cell>
          <cell r="H1062">
            <v>43152</v>
          </cell>
          <cell r="I1062" t="str">
            <v>AYUDA TEMPORAL A LAS FAMILIAS DE VARIAS LOCALIDADES, PARA RELOCALIZACIÓN DE HOGARES LOCALIZADOS EN ZONAS DE ALTO RIESGO NO MITIGABLE ID:2011-4-12691, LOCALIDAD:04 SAN CRISTÓBAL, UPZ:32 SAN BLAS.</v>
          </cell>
          <cell r="J1062">
            <v>3093150</v>
          </cell>
          <cell r="K1062">
            <v>0</v>
          </cell>
          <cell r="L1062">
            <v>3093150</v>
          </cell>
          <cell r="M1062">
            <v>1546575</v>
          </cell>
          <cell r="N1062">
            <v>1546575</v>
          </cell>
        </row>
        <row r="1063">
          <cell r="A1063">
            <v>395</v>
          </cell>
          <cell r="B1063">
            <v>1448</v>
          </cell>
          <cell r="C1063">
            <v>43152</v>
          </cell>
          <cell r="D1063" t="str">
            <v>INGRID YULIET BARRAGAN CARVAJAL</v>
          </cell>
          <cell r="E1063">
            <v>31</v>
          </cell>
          <cell r="F1063" t="str">
            <v>RESOLUCION</v>
          </cell>
          <cell r="G1063">
            <v>1304</v>
          </cell>
          <cell r="H1063">
            <v>43152</v>
          </cell>
          <cell r="I1063" t="str">
            <v>AYUDA TEMPORAL A LAS FAMILIAS DE VARIAS LOCALIDADES, PARA RELOCALIZACIÓN DE HOGARES LOCALIZADOS EN ZONAS DE ALTO RIESGO NO MITIGABLE ID:2014-LC-00792, LOCALIDAD:19 CIUDAD BOLÍVAR, UPZ:69 ISMAEL PERDOMO.</v>
          </cell>
          <cell r="J1063">
            <v>2439960</v>
          </cell>
          <cell r="K1063">
            <v>0</v>
          </cell>
          <cell r="L1063">
            <v>2439960</v>
          </cell>
          <cell r="M1063">
            <v>1219980</v>
          </cell>
          <cell r="N1063">
            <v>1219980</v>
          </cell>
        </row>
        <row r="1064">
          <cell r="A1064">
            <v>395</v>
          </cell>
          <cell r="B1064">
            <v>1449</v>
          </cell>
          <cell r="C1064">
            <v>43152</v>
          </cell>
          <cell r="D1064" t="str">
            <v>OMAIRA  VANEGAS QUINCHO</v>
          </cell>
          <cell r="E1064">
            <v>31</v>
          </cell>
          <cell r="F1064" t="str">
            <v>RESOLUCION</v>
          </cell>
          <cell r="G1064">
            <v>1329</v>
          </cell>
          <cell r="H1064">
            <v>43152</v>
          </cell>
          <cell r="I1064" t="str">
            <v>AYUDA TEMPORAL A LAS FAMILIAS DE VARIAS LOCALIDADES, PARA RELOCALIZACIÓN DE HOGARES LOCALIZADOS EN ZONAS DE ALTO RIESGO NO MITIGABLE ID:2013000263, LOCALIDAD:04 SAN CRISTÓBAL, UPZ:51 LOS LIBERTADORES, SECTOR:QUEBRADA VEREJONES</v>
          </cell>
          <cell r="J1064">
            <v>4310000</v>
          </cell>
          <cell r="K1064">
            <v>0</v>
          </cell>
          <cell r="L1064">
            <v>4310000</v>
          </cell>
          <cell r="M1064">
            <v>1293000</v>
          </cell>
          <cell r="N1064">
            <v>3017000</v>
          </cell>
        </row>
        <row r="1065">
          <cell r="A1065">
            <v>395</v>
          </cell>
          <cell r="B1065">
            <v>1450</v>
          </cell>
          <cell r="C1065">
            <v>43152</v>
          </cell>
          <cell r="D1065" t="str">
            <v>GLORIA  NIÑO VILLALBA</v>
          </cell>
          <cell r="E1065">
            <v>31</v>
          </cell>
          <cell r="F1065" t="str">
            <v>RESOLUCION</v>
          </cell>
          <cell r="G1065">
            <v>1330</v>
          </cell>
          <cell r="H1065">
            <v>43152</v>
          </cell>
          <cell r="I1065" t="str">
            <v>AYUDA TEMPORAL A LAS FAMILIAS DE VARIAS LOCALIDADES, PARA RELOCALIZACIÓN DE HOGARES LOCALIZADOS EN ZONAS DE ALTO RIESGO NO MITIGABLE ID:2014-OTR-00897, LOCALIDAD:03 SANTA FE, UPZ:96 LOURDES, SECTOR:CASA 3</v>
          </cell>
          <cell r="J1065">
            <v>2551518</v>
          </cell>
          <cell r="K1065">
            <v>0</v>
          </cell>
          <cell r="L1065">
            <v>2551518</v>
          </cell>
          <cell r="M1065">
            <v>1275759</v>
          </cell>
          <cell r="N1065">
            <v>1275759</v>
          </cell>
        </row>
        <row r="1066">
          <cell r="A1066">
            <v>395</v>
          </cell>
          <cell r="B1066">
            <v>1451</v>
          </cell>
          <cell r="C1066">
            <v>43152</v>
          </cell>
          <cell r="D1066" t="str">
            <v>YAMILE  CESPEDES JIMENEZ</v>
          </cell>
          <cell r="E1066">
            <v>31</v>
          </cell>
          <cell r="F1066" t="str">
            <v>RESOLUCION</v>
          </cell>
          <cell r="G1066">
            <v>1294</v>
          </cell>
          <cell r="H1066">
            <v>43152</v>
          </cell>
          <cell r="I1066" t="str">
            <v>AYUDA TEMPORAL A LAS FAMILIAS DE VARIAS LOCALIDADES, PARA RELOCALIZACIÓN DE HOGARES LOCALIZADOS EN ZONAS DE ALTO RIESGO NO MITIGABLE ID:2014-OTR-00895, LOCALIDAD:03 SANTA FE, UPZ:96 LOURDES, SECTOR:CASA 3</v>
          </cell>
          <cell r="J1066">
            <v>3014166</v>
          </cell>
          <cell r="K1066">
            <v>0</v>
          </cell>
          <cell r="L1066">
            <v>3014166</v>
          </cell>
          <cell r="M1066">
            <v>1507083</v>
          </cell>
          <cell r="N1066">
            <v>1507083</v>
          </cell>
        </row>
        <row r="1067">
          <cell r="A1067">
            <v>395</v>
          </cell>
          <cell r="B1067">
            <v>1452</v>
          </cell>
          <cell r="C1067">
            <v>43152</v>
          </cell>
          <cell r="D1067" t="str">
            <v>MARIA NIBIA HERNANDEZ MUNEVAR</v>
          </cell>
          <cell r="E1067">
            <v>31</v>
          </cell>
          <cell r="F1067" t="str">
            <v>RESOLUCION</v>
          </cell>
          <cell r="G1067">
            <v>1331</v>
          </cell>
          <cell r="H1067">
            <v>43152</v>
          </cell>
          <cell r="I1067" t="str">
            <v>AYUDA TEMPORAL A LAS FAMILIAS DE VARIAS LOCALIDADES, PARA RELOCALIZACIÓN DE HOGARES LOCALIZADOS EN ZONAS DE ALTO RIESGO NO MITIGABLE ID:2011-4-12642, LOCALIDAD:04 SAN CRISTÓBAL, UPZ:32 SAN BLAS, SECTOR:</v>
          </cell>
          <cell r="J1067">
            <v>2213148</v>
          </cell>
          <cell r="K1067">
            <v>0</v>
          </cell>
          <cell r="L1067">
            <v>2213148</v>
          </cell>
          <cell r="M1067">
            <v>1106574</v>
          </cell>
          <cell r="N1067">
            <v>1106574</v>
          </cell>
        </row>
        <row r="1068">
          <cell r="A1068">
            <v>395</v>
          </cell>
          <cell r="B1068">
            <v>1453</v>
          </cell>
          <cell r="C1068">
            <v>43152</v>
          </cell>
          <cell r="D1068" t="str">
            <v>MARIA DE LOS ANGELES LOPEZ RUIZ</v>
          </cell>
          <cell r="E1068">
            <v>31</v>
          </cell>
          <cell r="F1068" t="str">
            <v>RESOLUCION</v>
          </cell>
          <cell r="G1068">
            <v>1332</v>
          </cell>
          <cell r="H1068">
            <v>43152</v>
          </cell>
          <cell r="I1068" t="str">
            <v>AYUDA TEMPORAL A LAS FAMILIAS DE VARIAS LOCALIDADES, PARA RELOCALIZACIÓN DE HOGARES LOCALIZADOS EN ZONAS DE ALTO RIESGO NO MITIGABLE ID:2012-ALES-131, LOCALIDAD:19 CIUDAD BOLÍVAR, UPZ:69 ISMAEL PERDOMO, SECTOR:</v>
          </cell>
          <cell r="J1068">
            <v>3102000</v>
          </cell>
          <cell r="K1068">
            <v>0</v>
          </cell>
          <cell r="L1068">
            <v>3102000</v>
          </cell>
          <cell r="M1068">
            <v>1551000</v>
          </cell>
          <cell r="N1068">
            <v>1551000</v>
          </cell>
        </row>
        <row r="1069">
          <cell r="A1069">
            <v>624</v>
          </cell>
          <cell r="B1069">
            <v>1454</v>
          </cell>
          <cell r="C1069">
            <v>43152</v>
          </cell>
          <cell r="D1069" t="str">
            <v>JOHAN MANUEL TORRES GALINDO</v>
          </cell>
          <cell r="E1069">
            <v>31</v>
          </cell>
          <cell r="F1069" t="str">
            <v>RESOLUCION</v>
          </cell>
          <cell r="G1069">
            <v>1355</v>
          </cell>
          <cell r="H1069">
            <v>43152</v>
          </cell>
          <cell r="I1069" t="str">
            <v>Asignacion del instrumento financiero a las familias ocupantes del predio que hayan superado la fase de verificacion dentro  del marco del Decreto 457 de 2017. LOCALIDAD: KENNEDY; BARRIO: VEREDITAS; ID: 2018-8-383909</v>
          </cell>
          <cell r="J1069">
            <v>54686940</v>
          </cell>
          <cell r="K1069">
            <v>0</v>
          </cell>
          <cell r="L1069">
            <v>54686940</v>
          </cell>
          <cell r="M1069">
            <v>54686940</v>
          </cell>
          <cell r="N1069">
            <v>0</v>
          </cell>
        </row>
        <row r="1070">
          <cell r="A1070">
            <v>573</v>
          </cell>
          <cell r="B1070">
            <v>1455</v>
          </cell>
          <cell r="C1070">
            <v>43153</v>
          </cell>
          <cell r="D1070" t="str">
            <v>JUAN CARLOS LOPEZ RODRIGUEZ</v>
          </cell>
          <cell r="E1070">
            <v>31</v>
          </cell>
          <cell r="F1070" t="str">
            <v>RESOLUCION</v>
          </cell>
          <cell r="G1070">
            <v>1357</v>
          </cell>
          <cell r="H1070">
            <v>43153</v>
          </cell>
          <cell r="I1070" t="str">
            <v>Asignacion del instrumento financiero a las familias ocupantes del predio que hayan superado la fase de verificacion dentro  del marco del Decreto 457 de 2017. LOCALIDAD: KENNEDY; BARRIO: VEREDITAS; ID: 2017-8-383811</v>
          </cell>
          <cell r="J1070">
            <v>54686940</v>
          </cell>
          <cell r="K1070">
            <v>0</v>
          </cell>
          <cell r="L1070">
            <v>54686940</v>
          </cell>
          <cell r="M1070">
            <v>54686940</v>
          </cell>
          <cell r="N1070">
            <v>0</v>
          </cell>
        </row>
        <row r="1071">
          <cell r="A1071">
            <v>561</v>
          </cell>
          <cell r="B1071">
            <v>1458</v>
          </cell>
          <cell r="C1071">
            <v>43154</v>
          </cell>
          <cell r="D1071" t="str">
            <v>JAIME  TORO VALENCIA</v>
          </cell>
          <cell r="E1071">
            <v>31</v>
          </cell>
          <cell r="F1071" t="str">
            <v>RESOLUCION</v>
          </cell>
          <cell r="G1071">
            <v>1378</v>
          </cell>
          <cell r="H1071">
            <v>43154</v>
          </cell>
          <cell r="I1071" t="str">
            <v>Asignación de Vur por nuevo avaluo comercial a fin de resolver recurso de reposición (segunda vez).Dto 255 de 2013. LOCALIDAD:CIUDAD BOLIVAR; BARRIO: SAN RAFAEL; ID:2013-Q21-00660</v>
          </cell>
          <cell r="J1071">
            <v>4739060</v>
          </cell>
          <cell r="K1071">
            <v>0</v>
          </cell>
          <cell r="L1071">
            <v>4739060</v>
          </cell>
          <cell r="M1071">
            <v>4739060</v>
          </cell>
          <cell r="N1071">
            <v>0</v>
          </cell>
        </row>
        <row r="1072">
          <cell r="A1072">
            <v>646</v>
          </cell>
          <cell r="B1072">
            <v>1461</v>
          </cell>
          <cell r="C1072">
            <v>43154</v>
          </cell>
          <cell r="D1072" t="str">
            <v>JEIMY ALEJANDRA RUEDA LEON</v>
          </cell>
          <cell r="E1072">
            <v>31</v>
          </cell>
          <cell r="F1072" t="str">
            <v>RESOLUCION</v>
          </cell>
          <cell r="G1072">
            <v>1356</v>
          </cell>
          <cell r="H1072">
            <v>43154</v>
          </cell>
          <cell r="I1072" t="str">
            <v>Asignacion del instrumento financiero a las familias ocupantes del predio que hayan superado la fase de verificacion dentro  del marco del Decreto 457 de 2017. LOCALIDAD: KENNEDY; BARRIO: VEREDITAS; ID: 2018-8-383929</v>
          </cell>
          <cell r="J1072">
            <v>54686940</v>
          </cell>
          <cell r="K1072">
            <v>0</v>
          </cell>
          <cell r="L1072">
            <v>54686940</v>
          </cell>
          <cell r="M1072">
            <v>54686940</v>
          </cell>
          <cell r="N1072">
            <v>0</v>
          </cell>
        </row>
        <row r="1073">
          <cell r="A1073">
            <v>395</v>
          </cell>
          <cell r="B1073">
            <v>1462</v>
          </cell>
          <cell r="C1073">
            <v>43154</v>
          </cell>
          <cell r="D1073" t="str">
            <v>LEYDI ALEXANDRA MESA CORREA</v>
          </cell>
          <cell r="E1073">
            <v>31</v>
          </cell>
          <cell r="F1073" t="str">
            <v>RESOLUCION</v>
          </cell>
          <cell r="G1073">
            <v>1299</v>
          </cell>
          <cell r="H1073">
            <v>43154</v>
          </cell>
          <cell r="I1073" t="str">
            <v>AYUDA TEMPORAL A LAS FAMILIAS DE VARIAS LOCALIDADES, PARA RELOCALIZACIÓN DE HOGARES LOCALIZADOS EN ZONAS DE ALTO RIESGO NO MITIGABLE ID:2011-4-13344, LOCALIDAD:04 SAN CRISTÓBAL, UPZ:50 LA GLORIA</v>
          </cell>
          <cell r="J1073">
            <v>6296810</v>
          </cell>
          <cell r="K1073">
            <v>0</v>
          </cell>
          <cell r="L1073">
            <v>6296810</v>
          </cell>
          <cell r="M1073">
            <v>968740</v>
          </cell>
          <cell r="N1073">
            <v>5328070</v>
          </cell>
        </row>
        <row r="1074">
          <cell r="A1074">
            <v>395</v>
          </cell>
          <cell r="B1074">
            <v>1463</v>
          </cell>
          <cell r="C1074">
            <v>43154</v>
          </cell>
          <cell r="D1074" t="str">
            <v>MERCEDES  CHAPARRO</v>
          </cell>
          <cell r="E1074">
            <v>31</v>
          </cell>
          <cell r="F1074" t="str">
            <v>RESOLUCION</v>
          </cell>
          <cell r="G1074">
            <v>1381</v>
          </cell>
          <cell r="H1074">
            <v>43154</v>
          </cell>
          <cell r="I1074" t="str">
            <v>AYUDA TEMPORAL A LAS FAMILIAS DE VARIAS LOCALIDADES, PARA RELOCALIZACIÓN DE HOGARES LOCALIZADOS EN ZONAS DE ALTO RIESGO NO MITIGABLE ID:2013-Q10-00520, LOCALIDAD:04 SAN CRISTÓBAL, UPZ:51 LOS LIBERTADORES, SECTOR:QUEBRADA VEREJONES</v>
          </cell>
          <cell r="J1074">
            <v>2301678</v>
          </cell>
          <cell r="K1074">
            <v>0</v>
          </cell>
          <cell r="L1074">
            <v>2301678</v>
          </cell>
          <cell r="M1074">
            <v>1150839</v>
          </cell>
          <cell r="N1074">
            <v>1150839</v>
          </cell>
        </row>
        <row r="1075">
          <cell r="A1075">
            <v>395</v>
          </cell>
          <cell r="B1075">
            <v>1464</v>
          </cell>
          <cell r="C1075">
            <v>43154</v>
          </cell>
          <cell r="D1075" t="str">
            <v>ANA MARIA JIMENEZ MARTINEZ</v>
          </cell>
          <cell r="E1075">
            <v>31</v>
          </cell>
          <cell r="F1075" t="str">
            <v>RESOLUCION</v>
          </cell>
          <cell r="G1075">
            <v>1376</v>
          </cell>
          <cell r="H1075">
            <v>43154</v>
          </cell>
          <cell r="I1075" t="str">
            <v>AYUDA TEMPORAL A LAS FAMILIAS DE VARIAS LOCALIDADES, PARA RELOCALIZACIÓN DE HOGARES LOCALIZADOS EN ZONAS DE ALTO RIESGO NO MITIGABLE ID:2013-4-14643, LOCALIDAD:04 SAN CRISTÓBAL, UPZ:32 SAN BLAS</v>
          </cell>
          <cell r="J1075">
            <v>3619000</v>
          </cell>
          <cell r="K1075">
            <v>0</v>
          </cell>
          <cell r="L1075">
            <v>3619000</v>
          </cell>
          <cell r="M1075">
            <v>2068000</v>
          </cell>
          <cell r="N1075">
            <v>1551000</v>
          </cell>
        </row>
        <row r="1076">
          <cell r="A1076">
            <v>395</v>
          </cell>
          <cell r="B1076">
            <v>1465</v>
          </cell>
          <cell r="C1076">
            <v>43154</v>
          </cell>
          <cell r="D1076" t="str">
            <v>JORGE ARNULFO PACANCHIQUE LOPEZ</v>
          </cell>
          <cell r="E1076">
            <v>31</v>
          </cell>
          <cell r="F1076" t="str">
            <v>RESOLUCION</v>
          </cell>
          <cell r="G1076">
            <v>1377</v>
          </cell>
          <cell r="H1076">
            <v>43154</v>
          </cell>
          <cell r="I1076" t="str">
            <v>AYUDA TEMPORAL A LAS FAMILIAS DE VARIAS LOCALIDADES, PARA RELOCALIZACIÓN DE HOGARES LOCALIZADOS EN ZONAS DE ALTO RIESGO NO MITIGABLE ID:2014-OTR-01155, LOCALIDAD:11 SUBA, UPZ:71 TIBABUYES, SECTOR:GAVILANES</v>
          </cell>
          <cell r="J1076">
            <v>3017000</v>
          </cell>
          <cell r="K1076">
            <v>0</v>
          </cell>
          <cell r="L1076">
            <v>3017000</v>
          </cell>
          <cell r="M1076">
            <v>1724000</v>
          </cell>
          <cell r="N1076">
            <v>1293000</v>
          </cell>
        </row>
        <row r="1077">
          <cell r="A1077">
            <v>395</v>
          </cell>
          <cell r="B1077">
            <v>1469</v>
          </cell>
          <cell r="C1077">
            <v>43154</v>
          </cell>
          <cell r="D1077" t="str">
            <v>BLANCA RUTH NARANJO PATARROYO</v>
          </cell>
          <cell r="E1077">
            <v>31</v>
          </cell>
          <cell r="F1077" t="str">
            <v>RESOLUCION</v>
          </cell>
          <cell r="G1077">
            <v>1380</v>
          </cell>
          <cell r="H1077">
            <v>43154</v>
          </cell>
          <cell r="I1077" t="str">
            <v>AYUDA TEMPORAL A LAS FAMILIAS DE VARIAS LOCALIDADES, PARA RELOCALIZACIÓN DE HOGARES LOCALIZADOS EN ZONAS DE ALTO RIESGO NO MITIGABLE ID:2014-OTR-00887, LOCALIDAD:03 SANTA FE, UPZ:96 LOURDES, SECTOR:CASA 2</v>
          </cell>
          <cell r="J1077">
            <v>2550450</v>
          </cell>
          <cell r="K1077">
            <v>0</v>
          </cell>
          <cell r="L1077">
            <v>2550450</v>
          </cell>
          <cell r="M1077">
            <v>1275225</v>
          </cell>
          <cell r="N1077">
            <v>1275225</v>
          </cell>
        </row>
        <row r="1078">
          <cell r="A1078">
            <v>395</v>
          </cell>
          <cell r="B1078">
            <v>1470</v>
          </cell>
          <cell r="C1078">
            <v>43158</v>
          </cell>
          <cell r="D1078" t="str">
            <v>AMERICO  CABEZON PIRAZA</v>
          </cell>
          <cell r="E1078">
            <v>31</v>
          </cell>
          <cell r="F1078" t="str">
            <v>RESOLUCION</v>
          </cell>
          <cell r="G1078">
            <v>1391</v>
          </cell>
          <cell r="H1078">
            <v>43158</v>
          </cell>
          <cell r="I1078" t="str">
            <v>AYUDA TEMPORAL A LAS FAMILIAS DE VARIAS LOCALIDADES, PARA RELOCALIZACIÓN DE HOGARES LOCALIZADOS EN ZONAS DE ALTO RIESGO NO MITIGABLE ID:2014-W166-040, LOCALIDAD:19 CIUDAD BOLÍVAR, UPZ:68 EL TESORO, SECTOR:WOUNAAN</v>
          </cell>
          <cell r="J1078">
            <v>3357900</v>
          </cell>
          <cell r="K1078">
            <v>0</v>
          </cell>
          <cell r="L1078">
            <v>3357900</v>
          </cell>
          <cell r="M1078">
            <v>1918800</v>
          </cell>
          <cell r="N1078">
            <v>1439100</v>
          </cell>
        </row>
        <row r="1079">
          <cell r="A1079">
            <v>395</v>
          </cell>
          <cell r="B1079">
            <v>1471</v>
          </cell>
          <cell r="C1079">
            <v>43158</v>
          </cell>
          <cell r="D1079" t="str">
            <v>RODRIGO  CORREDOR</v>
          </cell>
          <cell r="E1079">
            <v>31</v>
          </cell>
          <cell r="F1079" t="str">
            <v>RESOLUCION</v>
          </cell>
          <cell r="G1079">
            <v>1392</v>
          </cell>
          <cell r="H1079">
            <v>43158</v>
          </cell>
          <cell r="I1079" t="str">
            <v>AYUDA TEMPORAL A LAS FAMILIAS DE VARIAS LOCALIDADES, PARA RELOCALIZACIÓN DE HOGARES LOCALIZADOS EN ZONAS DE ALTO RIESGO NO MITIGABLE ID:2013-Q09-00577, LOCALIDAD:19 CIUDAD BOLÍVAR, UPZ:67 LUCERO, SECTOR:QUEBRADA TROMPETA</v>
          </cell>
          <cell r="J1079">
            <v>3102000</v>
          </cell>
          <cell r="K1079">
            <v>0</v>
          </cell>
          <cell r="L1079">
            <v>3102000</v>
          </cell>
          <cell r="M1079">
            <v>1551000</v>
          </cell>
          <cell r="N1079">
            <v>1551000</v>
          </cell>
        </row>
        <row r="1080">
          <cell r="A1080">
            <v>395</v>
          </cell>
          <cell r="B1080">
            <v>1472</v>
          </cell>
          <cell r="C1080">
            <v>43158</v>
          </cell>
          <cell r="D1080" t="str">
            <v>NELSON  BERMUDEZ RAMIREZ</v>
          </cell>
          <cell r="E1080">
            <v>31</v>
          </cell>
          <cell r="F1080" t="str">
            <v>RESOLUCION</v>
          </cell>
          <cell r="G1080">
            <v>1394</v>
          </cell>
          <cell r="H1080">
            <v>43158</v>
          </cell>
          <cell r="I1080" t="str">
            <v>AYUDA TEMPORAL A LAS FAMILIAS DE VARIAS LOCALIDADES, PARA RELOCALIZACIÓN DE HOGARES LOCALIZADOS EN ZONAS DE ALTO RIESGO NO MITIGABLE ID:2011-4-12636, LOCALIDAD:04 SAN CRISTÓBAL, UPZ:32 SAN BLAS</v>
          </cell>
          <cell r="J1080">
            <v>2590566</v>
          </cell>
          <cell r="K1080">
            <v>0</v>
          </cell>
          <cell r="L1080">
            <v>2590566</v>
          </cell>
          <cell r="M1080">
            <v>1295283</v>
          </cell>
          <cell r="N1080">
            <v>1295283</v>
          </cell>
        </row>
        <row r="1081">
          <cell r="A1081">
            <v>395</v>
          </cell>
          <cell r="B1081">
            <v>1473</v>
          </cell>
          <cell r="C1081">
            <v>43159</v>
          </cell>
          <cell r="D1081" t="str">
            <v>LUIS CARLOS COY GUIO</v>
          </cell>
          <cell r="E1081">
            <v>31</v>
          </cell>
          <cell r="F1081" t="str">
            <v>RESOLUCION</v>
          </cell>
          <cell r="G1081">
            <v>1395</v>
          </cell>
          <cell r="H1081">
            <v>43159</v>
          </cell>
          <cell r="I1081" t="str">
            <v>AYUDA TEMPORAL A LAS FAMILIAS DE VARIAS LOCALIDADES, PARA RELOCALIZACIÓN DE HOGARES LOCALIZADOS EN ZONAS DE ALTO RIESGO NO MITIGABLE ID:2011-4-12631, LOCALIDAD:04 SAN CRISTÓBAL, UPZ:32 SAN BLAS</v>
          </cell>
          <cell r="J1081">
            <v>2281062</v>
          </cell>
          <cell r="K1081">
            <v>0</v>
          </cell>
          <cell r="L1081">
            <v>2281062</v>
          </cell>
          <cell r="M1081">
            <v>1140531</v>
          </cell>
          <cell r="N1081">
            <v>1140531</v>
          </cell>
        </row>
        <row r="1082">
          <cell r="A1082">
            <v>395</v>
          </cell>
          <cell r="B1082">
            <v>1474</v>
          </cell>
          <cell r="C1082">
            <v>43159</v>
          </cell>
          <cell r="D1082" t="str">
            <v>LUZ MARINA ADAN</v>
          </cell>
          <cell r="E1082">
            <v>31</v>
          </cell>
          <cell r="F1082" t="str">
            <v>RESOLUCION</v>
          </cell>
          <cell r="G1082">
            <v>1393</v>
          </cell>
          <cell r="H1082">
            <v>43159</v>
          </cell>
          <cell r="I1082" t="str">
            <v>AYUDA TEMPORAL A LAS FAMILIAS DE VARIAS LOCALIDADES, PARA RELOCALIZACIÓN DE HOGARES LOCALIZADOS EN ZONAS DE ALTO RIESGO NO MITIGABLE ID:2014-OTR-00869, LOCALIDAD:03 SANTA FE, UPZ:96 LOURDES, SECTOR:CASA 1</v>
          </cell>
          <cell r="J1082">
            <v>2550450</v>
          </cell>
          <cell r="K1082">
            <v>0</v>
          </cell>
          <cell r="L1082">
            <v>2550450</v>
          </cell>
          <cell r="M1082">
            <v>1275225</v>
          </cell>
          <cell r="N1082">
            <v>1275225</v>
          </cell>
        </row>
        <row r="1083">
          <cell r="A1083">
            <v>655</v>
          </cell>
          <cell r="B1083">
            <v>1476</v>
          </cell>
          <cell r="C1083">
            <v>43160</v>
          </cell>
          <cell r="D1083" t="str">
            <v>YENNI MAYERLY GARCIA DIAZ</v>
          </cell>
          <cell r="E1083">
            <v>31</v>
          </cell>
          <cell r="F1083" t="str">
            <v>RESOLUCION</v>
          </cell>
          <cell r="G1083">
            <v>1415</v>
          </cell>
          <cell r="H1083">
            <v>43160</v>
          </cell>
          <cell r="I1083" t="str">
            <v>Asignacion del instrumento financiero a las familias ocupantes del predio que hayan superado la fase de verificacion dentro  del marco del Decreto 457 de 2017. LOCALIDAD: KENNEDY; BARRIO: VEREDITAS; ID: 2017-8-383848</v>
          </cell>
          <cell r="J1083">
            <v>54686940</v>
          </cell>
          <cell r="K1083">
            <v>0</v>
          </cell>
          <cell r="L1083">
            <v>54686940</v>
          </cell>
          <cell r="M1083">
            <v>54686940</v>
          </cell>
          <cell r="N1083">
            <v>0</v>
          </cell>
        </row>
        <row r="1084">
          <cell r="A1084">
            <v>654</v>
          </cell>
          <cell r="B1084">
            <v>1477</v>
          </cell>
          <cell r="C1084">
            <v>43160</v>
          </cell>
          <cell r="D1084" t="str">
            <v>YENNY CATERINE ALVAREZ AREVALO</v>
          </cell>
          <cell r="E1084">
            <v>31</v>
          </cell>
          <cell r="F1084" t="str">
            <v>RESOLUCION</v>
          </cell>
          <cell r="G1084">
            <v>1416</v>
          </cell>
          <cell r="H1084">
            <v>43160</v>
          </cell>
          <cell r="I1084" t="str">
            <v>Asignacion del instrumento financiero a las familias ocupantes del predio que hayan superado la fase de verificacion dentro  del marco del Decreto 457 de 2017. LOCALIDAD: KENNEDY; BARRIO: VEREDITAS; ID: 2017-8-383671</v>
          </cell>
          <cell r="J1084">
            <v>54686940</v>
          </cell>
          <cell r="K1084">
            <v>0</v>
          </cell>
          <cell r="L1084">
            <v>54686940</v>
          </cell>
          <cell r="M1084">
            <v>0</v>
          </cell>
          <cell r="N1084">
            <v>54686940</v>
          </cell>
        </row>
        <row r="1085">
          <cell r="A1085">
            <v>647</v>
          </cell>
          <cell r="B1085">
            <v>1478</v>
          </cell>
          <cell r="C1085">
            <v>43160</v>
          </cell>
          <cell r="D1085" t="str">
            <v>PAULA ANDREA LONDOÑO LEON</v>
          </cell>
          <cell r="E1085">
            <v>31</v>
          </cell>
          <cell r="F1085" t="str">
            <v>RESOLUCION</v>
          </cell>
          <cell r="G1085">
            <v>1413</v>
          </cell>
          <cell r="H1085">
            <v>43160</v>
          </cell>
          <cell r="I1085" t="str">
            <v>Asignacion del instrumento financiero a las familias ocupantes del predio que hayan superado la fase de verificacion dentro  del marco del Decreto 457 de 2017. LOCALIDAD: KENNEDY; BARRIO: VEREDITAS; ID: 2018-8-383928.</v>
          </cell>
          <cell r="J1085">
            <v>54686940</v>
          </cell>
          <cell r="K1085">
            <v>0</v>
          </cell>
          <cell r="L1085">
            <v>54686940</v>
          </cell>
          <cell r="M1085">
            <v>54686940</v>
          </cell>
          <cell r="N1085">
            <v>0</v>
          </cell>
        </row>
        <row r="1086">
          <cell r="A1086">
            <v>633</v>
          </cell>
          <cell r="B1086">
            <v>1479</v>
          </cell>
          <cell r="C1086">
            <v>43160</v>
          </cell>
          <cell r="D1086" t="str">
            <v>ANGELICA MARIA MONSALVE MALAGON</v>
          </cell>
          <cell r="E1086">
            <v>31</v>
          </cell>
          <cell r="F1086" t="str">
            <v>RESOLUCION</v>
          </cell>
          <cell r="G1086">
            <v>1417</v>
          </cell>
          <cell r="H1086">
            <v>43160</v>
          </cell>
          <cell r="I1086" t="str">
            <v>Asignacion del instrumento financiero a las familias ocupantes del predio que hayan superado la fase de verificacion dentro  del marco del Decreto 457 de 2017. LOCALIDAD: KENNEDY; BARRIO: VEREDITAS; ID: 2017-8-383758</v>
          </cell>
          <cell r="J1086">
            <v>54686940</v>
          </cell>
          <cell r="K1086">
            <v>0</v>
          </cell>
          <cell r="L1086">
            <v>54686940</v>
          </cell>
          <cell r="M1086">
            <v>54686940</v>
          </cell>
          <cell r="N1086">
            <v>0</v>
          </cell>
        </row>
        <row r="1087">
          <cell r="A1087">
            <v>635</v>
          </cell>
          <cell r="B1087">
            <v>1480</v>
          </cell>
          <cell r="C1087">
            <v>43160</v>
          </cell>
          <cell r="D1087" t="str">
            <v>CAROLINA  RAMIREZ PEÑA</v>
          </cell>
          <cell r="E1087">
            <v>31</v>
          </cell>
          <cell r="F1087" t="str">
            <v>RESOLUCION</v>
          </cell>
          <cell r="G1087">
            <v>1414</v>
          </cell>
          <cell r="H1087">
            <v>43160</v>
          </cell>
          <cell r="I1087" t="str">
            <v>Asignacion del instrumento financiero a las familias ocupantes del predio que hayan superado la fase de verificacion dentro  del marco del Decreto 457 de 2017. LOCALIDAD: KENNEDY; BARRIO: VEREDITAS; ID: 2018-8-383925</v>
          </cell>
          <cell r="J1087">
            <v>54686940</v>
          </cell>
          <cell r="K1087">
            <v>0</v>
          </cell>
          <cell r="L1087">
            <v>54686940</v>
          </cell>
          <cell r="M1087">
            <v>54686940</v>
          </cell>
          <cell r="N1087">
            <v>0</v>
          </cell>
        </row>
        <row r="1088">
          <cell r="A1088">
            <v>636</v>
          </cell>
          <cell r="B1088">
            <v>1481</v>
          </cell>
          <cell r="C1088">
            <v>43160</v>
          </cell>
          <cell r="D1088" t="str">
            <v>WILLIAM  GALINDO CASTEBLANCO</v>
          </cell>
          <cell r="E1088">
            <v>31</v>
          </cell>
          <cell r="F1088" t="str">
            <v>RESOLUCION</v>
          </cell>
          <cell r="G1088">
            <v>1418</v>
          </cell>
          <cell r="H1088">
            <v>43160</v>
          </cell>
          <cell r="I1088" t="str">
            <v>Asignacion del instrumento financiero a las familias ocupantes del predio que hayan superado la fase de verificacion dentro  del marco del Decreto 457 de 2017. LOCALIDAD: KENNEDY; BARRIO: VEREDITAS; ID: 2018-8-383927</v>
          </cell>
          <cell r="J1088">
            <v>54686940</v>
          </cell>
          <cell r="K1088">
            <v>0</v>
          </cell>
          <cell r="L1088">
            <v>54686940</v>
          </cell>
          <cell r="M1088">
            <v>54686940</v>
          </cell>
          <cell r="N1088">
            <v>0</v>
          </cell>
        </row>
        <row r="1089">
          <cell r="A1089">
            <v>656</v>
          </cell>
          <cell r="B1089">
            <v>1482</v>
          </cell>
          <cell r="C1089">
            <v>43160</v>
          </cell>
          <cell r="D1089" t="str">
            <v>ANA MARIA GOMEZ RAMIREZ</v>
          </cell>
          <cell r="E1089">
            <v>31</v>
          </cell>
          <cell r="F1089" t="str">
            <v>RESOLUCION</v>
          </cell>
          <cell r="G1089">
            <v>1462</v>
          </cell>
          <cell r="H1089">
            <v>43160</v>
          </cell>
          <cell r="I1089" t="str">
            <v>Asignacion del instrumento financiero a las familias ocupantes del predio que hayan superado la fase de verificacion dentro  del marco del Decreto 457 de 2017. LOCALIDAD: KENNEDY; BARRIO: VEREDITAS; ID: 2017-8-383601</v>
          </cell>
          <cell r="J1089">
            <v>54686940</v>
          </cell>
          <cell r="K1089">
            <v>0</v>
          </cell>
          <cell r="L1089">
            <v>54686940</v>
          </cell>
          <cell r="M1089">
            <v>54686940</v>
          </cell>
          <cell r="N1089">
            <v>0</v>
          </cell>
        </row>
        <row r="1090">
          <cell r="A1090">
            <v>600</v>
          </cell>
          <cell r="B1090">
            <v>1483</v>
          </cell>
          <cell r="C1090">
            <v>43160</v>
          </cell>
          <cell r="D1090" t="str">
            <v>IVAN RIVERA CESPEDES</v>
          </cell>
          <cell r="E1090">
            <v>31</v>
          </cell>
          <cell r="F1090" t="str">
            <v>RESOLUCION</v>
          </cell>
          <cell r="G1090">
            <v>1461</v>
          </cell>
          <cell r="H1090">
            <v>43160</v>
          </cell>
          <cell r="I1090" t="str">
            <v>Asignacion del instrumento financiero a las familias ocupantes del predio que hayan superado la fase de verificacion dentro  del marco del Decreto 457 de 2017. LOCALIDAD: KENNEDY; BARRIO: VEREDITAS; ID: 2018-8-383919</v>
          </cell>
          <cell r="J1090">
            <v>54686940</v>
          </cell>
          <cell r="K1090">
            <v>0</v>
          </cell>
          <cell r="L1090">
            <v>54686940</v>
          </cell>
          <cell r="M1090">
            <v>54686940</v>
          </cell>
          <cell r="N1090">
            <v>0</v>
          </cell>
        </row>
        <row r="1091">
          <cell r="A1091">
            <v>599</v>
          </cell>
          <cell r="B1091">
            <v>1485</v>
          </cell>
          <cell r="C1091">
            <v>43160</v>
          </cell>
          <cell r="D1091" t="str">
            <v>PAOLA ANDREA GOMEZ RAMIREZ</v>
          </cell>
          <cell r="E1091">
            <v>31</v>
          </cell>
          <cell r="F1091" t="str">
            <v>RESOLUCION</v>
          </cell>
          <cell r="G1091">
            <v>1460</v>
          </cell>
          <cell r="H1091">
            <v>43160</v>
          </cell>
          <cell r="I1091" t="str">
            <v>Asignacion del instrumento financiero a las familias ocupantes del predio que hayan superado la fase de verificacion dentro  del marco del Decreto 457 de 2017. LOCALIDAD: KENNEDY; BARRIO: VEREDITAS; ID: 2018-8-383918</v>
          </cell>
          <cell r="J1091">
            <v>54686940</v>
          </cell>
          <cell r="K1091">
            <v>0</v>
          </cell>
          <cell r="L1091">
            <v>54686940</v>
          </cell>
          <cell r="M1091">
            <v>54686940</v>
          </cell>
          <cell r="N1091">
            <v>0</v>
          </cell>
        </row>
        <row r="1092">
          <cell r="A1092">
            <v>649</v>
          </cell>
          <cell r="B1092">
            <v>1486</v>
          </cell>
          <cell r="C1092">
            <v>43161</v>
          </cell>
          <cell r="D1092" t="str">
            <v>LUZ MARINA MESA MOLINA</v>
          </cell>
          <cell r="E1092">
            <v>31</v>
          </cell>
          <cell r="F1092" t="str">
            <v>RESOLUCION</v>
          </cell>
          <cell r="G1092">
            <v>1436</v>
          </cell>
          <cell r="H1092">
            <v>43161</v>
          </cell>
          <cell r="I1092" t="str">
            <v>AYUDA TEMPORAL A LAS FAMILIAS DE VARIAS LOCALIDADES, PARA LA RELOCALIZACIÓN DE HOGARES LOCALIZADOS EN ZONAS DE ALTO RIESGO NO MITIGABLE ID:2007-4-10615, LOCALIDAD:04 SAN CRISTÓBAL, UPZ:34 20 DE JULIO</v>
          </cell>
          <cell r="J1092">
            <v>3201695</v>
          </cell>
          <cell r="K1092">
            <v>0</v>
          </cell>
          <cell r="L1092">
            <v>3201695</v>
          </cell>
          <cell r="M1092">
            <v>1829540</v>
          </cell>
          <cell r="N1092">
            <v>1372155</v>
          </cell>
        </row>
        <row r="1093">
          <cell r="A1093">
            <v>649</v>
          </cell>
          <cell r="B1093">
            <v>1487</v>
          </cell>
          <cell r="C1093">
            <v>43161</v>
          </cell>
          <cell r="D1093" t="str">
            <v>AIDA LILA MENDIVELSO ALAPE</v>
          </cell>
          <cell r="E1093">
            <v>31</v>
          </cell>
          <cell r="F1093" t="str">
            <v>RESOLUCION</v>
          </cell>
          <cell r="G1093">
            <v>1437</v>
          </cell>
          <cell r="H1093">
            <v>43161</v>
          </cell>
          <cell r="I1093" t="str">
            <v>AYUDA TEMPORAL A LAS FAMILIAS DE VARIAS LOCALIDADES, PARA LA RELOCALIZACIÓN DE HOGARES LOCALIZADOS EN ZONAS DE ALTO RIESGO NO MITIGABLE ID:2013-4-14655, LOCALIDAD:04 SAN CRISTÓBAL, UPZ:32 SAN BLAS</v>
          </cell>
          <cell r="J1093">
            <v>4101524</v>
          </cell>
          <cell r="K1093">
            <v>0</v>
          </cell>
          <cell r="L1093">
            <v>4101524</v>
          </cell>
          <cell r="M1093">
            <v>1757796</v>
          </cell>
          <cell r="N1093">
            <v>2343728</v>
          </cell>
        </row>
        <row r="1094">
          <cell r="A1094">
            <v>649</v>
          </cell>
          <cell r="B1094">
            <v>1488</v>
          </cell>
          <cell r="C1094">
            <v>43161</v>
          </cell>
          <cell r="D1094" t="str">
            <v>RITA  GONZALEZ</v>
          </cell>
          <cell r="E1094">
            <v>31</v>
          </cell>
          <cell r="F1094" t="str">
            <v>RESOLUCION</v>
          </cell>
          <cell r="G1094">
            <v>1438</v>
          </cell>
          <cell r="H1094">
            <v>43161</v>
          </cell>
          <cell r="I1094" t="str">
            <v>AYUDA TEMPORAL A LAS FAMILIAS DE VARIAS LOCALIDADES, PARA LA RELOCALIZACIÓN DE HOGARES LOCALIZADOS EN ZONAS DE ALTO RIESGO NO MITIGABLE ID:2012-19-13843, LOCALIDAD:19 CIUDAD BOLÍVAR, UPZ:67 LUCERO</v>
          </cell>
          <cell r="J1094">
            <v>3712284</v>
          </cell>
          <cell r="K1094">
            <v>0</v>
          </cell>
          <cell r="L1094">
            <v>3712284</v>
          </cell>
          <cell r="M1094">
            <v>824952</v>
          </cell>
          <cell r="N1094">
            <v>2887332</v>
          </cell>
        </row>
        <row r="1095">
          <cell r="A1095">
            <v>649</v>
          </cell>
          <cell r="B1095">
            <v>1489</v>
          </cell>
          <cell r="C1095">
            <v>43161</v>
          </cell>
          <cell r="D1095" t="str">
            <v>DIANA MARCELA HOYOS</v>
          </cell>
          <cell r="E1095">
            <v>31</v>
          </cell>
          <cell r="F1095" t="str">
            <v>RESOLUCION</v>
          </cell>
          <cell r="G1095">
            <v>1439</v>
          </cell>
          <cell r="H1095">
            <v>43161</v>
          </cell>
          <cell r="I1095" t="str">
            <v>AYUDA TEMPORAL A LAS FAMILIAS DE VARIAS LOCALIDADES, PARA LA RELOCALIZACIÓN DE HOGARES LOCALIZADOS EN ZONAS DE ALTO RIESGO NO MITIGABLE ID:2015-Q03-01243, LOCALIDAD:19 CIUDAD BOLÍVAR, UPZ:66 SAN FRANCISCO, SECTOR:LIMAS</v>
          </cell>
          <cell r="J1095">
            <v>4296831</v>
          </cell>
          <cell r="K1095">
            <v>0</v>
          </cell>
          <cell r="L1095">
            <v>4296831</v>
          </cell>
          <cell r="M1095">
            <v>781242</v>
          </cell>
          <cell r="N1095">
            <v>3515589</v>
          </cell>
        </row>
        <row r="1096">
          <cell r="A1096">
            <v>649</v>
          </cell>
          <cell r="B1096">
            <v>1490</v>
          </cell>
          <cell r="C1096">
            <v>43161</v>
          </cell>
          <cell r="D1096" t="str">
            <v>JUAN CARLOS DUEÑAS HERNANDEZ</v>
          </cell>
          <cell r="E1096">
            <v>31</v>
          </cell>
          <cell r="F1096" t="str">
            <v>RESOLUCION</v>
          </cell>
          <cell r="G1096">
            <v>1440</v>
          </cell>
          <cell r="H1096">
            <v>43161</v>
          </cell>
          <cell r="I1096" t="str">
            <v>AYUDA TEMPORAL A LAS FAMILIAS DE VARIAS LOCALIDADES, PARA LA RELOCALIZACIÓN DE HOGARES LOCALIZADOS EN ZONAS DE ALTO RIESGO NO MITIGABLE ID:2012-19-13977, LOCALIDAD:19 CIUDAD BOLÍVAR, UPZ:68 EL TESORO</v>
          </cell>
          <cell r="J1096">
            <v>3098410</v>
          </cell>
          <cell r="K1096">
            <v>0</v>
          </cell>
          <cell r="L1096">
            <v>3098410</v>
          </cell>
          <cell r="M1096">
            <v>1770520</v>
          </cell>
          <cell r="N1096">
            <v>1327890</v>
          </cell>
        </row>
        <row r="1097">
          <cell r="A1097">
            <v>649</v>
          </cell>
          <cell r="B1097">
            <v>1491</v>
          </cell>
          <cell r="C1097">
            <v>43161</v>
          </cell>
          <cell r="D1097" t="str">
            <v>PATRICIA  MALAGON RINCON</v>
          </cell>
          <cell r="E1097">
            <v>31</v>
          </cell>
          <cell r="F1097" t="str">
            <v>RESOLUCION</v>
          </cell>
          <cell r="G1097">
            <v>1441</v>
          </cell>
          <cell r="H1097">
            <v>43161</v>
          </cell>
          <cell r="I1097" t="str">
            <v>AYUDA TEMPORAL A LAS FAMILIAS DE VARIAS LOCALIDADES, PARA LA RELOCALIZACIÓN DE HOGARES LOCALIZADOS EN ZONAS DE ALTO RIESGO NO MITIGABLE ID:2016-08-14840, LOCALIDAD:08 KENNEDY, UPZ:82 PATIO BONITO, SECTOR:PALMITAS</v>
          </cell>
          <cell r="J1097">
            <v>3098410</v>
          </cell>
          <cell r="K1097">
            <v>0</v>
          </cell>
          <cell r="L1097">
            <v>3098410</v>
          </cell>
          <cell r="M1097">
            <v>1770520</v>
          </cell>
          <cell r="N1097">
            <v>1327890</v>
          </cell>
        </row>
        <row r="1098">
          <cell r="A1098">
            <v>649</v>
          </cell>
          <cell r="B1098">
            <v>1492</v>
          </cell>
          <cell r="C1098">
            <v>43161</v>
          </cell>
          <cell r="D1098" t="str">
            <v>NELLY FRANCISCA VALENCIA MEJIA</v>
          </cell>
          <cell r="E1098">
            <v>31</v>
          </cell>
          <cell r="F1098" t="str">
            <v>RESOLUCION</v>
          </cell>
          <cell r="G1098">
            <v>1442</v>
          </cell>
          <cell r="H1098">
            <v>43161</v>
          </cell>
          <cell r="I1098" t="str">
            <v>AYUDA TEMPORAL A LAS FAMILIAS DE VARIAS LOCALIDADES, PARA LA RELOCALIZACIÓN DE HOGARES LOCALIZADOS EN ZONAS DE ALTO RIESGO NO MITIGABLE ID:2015-W166-212, LOCALIDAD:04 SAN CRISTÓBAL, UPZ:33 SOSIEGO, SECTOR:EPERARA</v>
          </cell>
          <cell r="J1098">
            <v>5532880</v>
          </cell>
          <cell r="K1098">
            <v>0</v>
          </cell>
          <cell r="L1098">
            <v>5532880</v>
          </cell>
          <cell r="M1098">
            <v>553288</v>
          </cell>
          <cell r="N1098">
            <v>4979592</v>
          </cell>
        </row>
        <row r="1099">
          <cell r="A1099">
            <v>649</v>
          </cell>
          <cell r="B1099">
            <v>1493</v>
          </cell>
          <cell r="C1099">
            <v>43161</v>
          </cell>
          <cell r="D1099" t="str">
            <v>YONELY  MERCAZA BURGARA</v>
          </cell>
          <cell r="E1099">
            <v>31</v>
          </cell>
          <cell r="F1099" t="str">
            <v>RESOLUCION</v>
          </cell>
          <cell r="G1099">
            <v>1443</v>
          </cell>
          <cell r="H1099">
            <v>43161</v>
          </cell>
          <cell r="I1099" t="str">
            <v>AYUDA TEMPORAL A LAS FAMILIAS DE VARIAS LOCALIDADES, PARA LA RELOCALIZACIÓN DE HOGARES LOCALIZADOS EN ZONAS DE ALTO RIESGO NO MITIGABLE ID:2015-W166-419, LOCALIDAD:19 CIUDAD BOLÍVAR, UPZ:67 LUCERO, SECTOR:WOUNAAN</v>
          </cell>
          <cell r="J1099">
            <v>5947019</v>
          </cell>
          <cell r="K1099">
            <v>0</v>
          </cell>
          <cell r="L1099">
            <v>5947019</v>
          </cell>
          <cell r="M1099">
            <v>914926</v>
          </cell>
          <cell r="N1099">
            <v>5032093</v>
          </cell>
        </row>
        <row r="1100">
          <cell r="A1100">
            <v>649</v>
          </cell>
          <cell r="B1100">
            <v>1494</v>
          </cell>
          <cell r="C1100">
            <v>43161</v>
          </cell>
          <cell r="D1100" t="str">
            <v>MARIA FAY CASTAÑEDA MONTEALEGRE</v>
          </cell>
          <cell r="E1100">
            <v>31</v>
          </cell>
          <cell r="F1100" t="str">
            <v>RESOLUCION</v>
          </cell>
          <cell r="G1100">
            <v>1435</v>
          </cell>
          <cell r="H1100">
            <v>43161</v>
          </cell>
          <cell r="I1100" t="str">
            <v>AYUDA TEMPORAL A LAS FAMILIAS DE VARIAS LOCALIDADES, PARA LA RELOCALIZACIÓN DE HOGARES LOCALIZADOS EN ZONAS DE ALTO RIESGO NO MITIGABLE ID:2015-Q23-01502, LOCALIDAD:19 CIUDAD BOLÍVAR, UPZ:67 LUCERO, SECTOR:PIEDRA DEL MUERTO / PIEDRA DEL ANGEL</v>
          </cell>
          <cell r="J1100">
            <v>4640581</v>
          </cell>
          <cell r="K1100">
            <v>0</v>
          </cell>
          <cell r="L1100">
            <v>4640581</v>
          </cell>
          <cell r="M1100">
            <v>843742</v>
          </cell>
          <cell r="N1100">
            <v>3796839</v>
          </cell>
        </row>
        <row r="1101">
          <cell r="A1101">
            <v>649</v>
          </cell>
          <cell r="B1101">
            <v>1495</v>
          </cell>
          <cell r="C1101">
            <v>43161</v>
          </cell>
          <cell r="D1101" t="str">
            <v>KAREN JULIETH MORA REY</v>
          </cell>
          <cell r="E1101">
            <v>31</v>
          </cell>
          <cell r="F1101" t="str">
            <v>RESOLUCION</v>
          </cell>
          <cell r="G1101">
            <v>1427</v>
          </cell>
          <cell r="H1101">
            <v>43161</v>
          </cell>
          <cell r="I1101" t="str">
            <v>AYUDA TEMPORAL A LAS FAMILIAS DE VARIAS LOCALIDADES, PARA LA RELOCALIZACIÓN DE HOGARES LOCALIZADOS EN ZONAS DE ALTO RIESGO NO MITIGABLE ID:2015-W166-412, LOCALIDAD:03 SANTA FE, UPZ:95 LAS CRUCES, SECTOR:UITOTO</v>
          </cell>
          <cell r="J1101">
            <v>4890237</v>
          </cell>
          <cell r="K1101">
            <v>0</v>
          </cell>
          <cell r="L1101">
            <v>4890237</v>
          </cell>
          <cell r="M1101">
            <v>889134</v>
          </cell>
          <cell r="N1101">
            <v>4001103</v>
          </cell>
        </row>
        <row r="1102">
          <cell r="A1102">
            <v>492</v>
          </cell>
          <cell r="B1102">
            <v>1496</v>
          </cell>
          <cell r="C1102">
            <v>43161</v>
          </cell>
          <cell r="D1102" t="str">
            <v>EUTIMIO  CHAPARRO HUERFANO</v>
          </cell>
          <cell r="E1102">
            <v>31</v>
          </cell>
          <cell r="F1102" t="str">
            <v>RESOLUCION</v>
          </cell>
          <cell r="G1102">
            <v>1463</v>
          </cell>
          <cell r="H1102">
            <v>43161</v>
          </cell>
          <cell r="I1102" t="str">
            <v>ASIGNACIÓN DE VUR CONFORME AL AVALÚO COMERCIAL (ASIGNACIÓN PRIMERA VEZ).DTO. 255 DE 2013. LOCALIDAD: USAQUEN; BARRIO: ARAUQUITA; ID: 2009-1-11282</v>
          </cell>
          <cell r="J1102">
            <v>420100300</v>
          </cell>
          <cell r="K1102">
            <v>0</v>
          </cell>
          <cell r="L1102">
            <v>420100300</v>
          </cell>
          <cell r="M1102">
            <v>420100300</v>
          </cell>
          <cell r="N1102">
            <v>0</v>
          </cell>
        </row>
        <row r="1103">
          <cell r="A1103">
            <v>649</v>
          </cell>
          <cell r="B1103">
            <v>1497</v>
          </cell>
          <cell r="C1103">
            <v>43161</v>
          </cell>
          <cell r="D1103" t="str">
            <v>LUZ MARY GUZMAN DIAZ</v>
          </cell>
          <cell r="E1103">
            <v>31</v>
          </cell>
          <cell r="F1103" t="str">
            <v>RESOLUCION</v>
          </cell>
          <cell r="G1103">
            <v>1428</v>
          </cell>
          <cell r="H1103">
            <v>43161</v>
          </cell>
          <cell r="I1103" t="str">
            <v>AYUDA TEMPORAL A LAS FAMILIAS DE VARIAS LOCALIDADES, PARA LA RELOCALIZACIÓN DE HOGARES LOCALIZADOS EN ZONAS DE ALTO RIESGO NO MITIGABLE ID:2015-OTR-01536, LOCALIDAD:18 RAFAEL URIBE URIBE, UPZ:55 DIANA TURBAY, SECTOR:CERROS DE ORIENTE</v>
          </cell>
          <cell r="J1103">
            <v>2255225</v>
          </cell>
          <cell r="K1103">
            <v>0</v>
          </cell>
          <cell r="L1103">
            <v>2255225</v>
          </cell>
          <cell r="M1103">
            <v>902090</v>
          </cell>
          <cell r="N1103">
            <v>1353135</v>
          </cell>
        </row>
        <row r="1104">
          <cell r="A1104">
            <v>649</v>
          </cell>
          <cell r="B1104">
            <v>1498</v>
          </cell>
          <cell r="C1104">
            <v>43161</v>
          </cell>
          <cell r="D1104" t="str">
            <v>BLANCA AURORA LOZANO ROZO</v>
          </cell>
          <cell r="E1104">
            <v>31</v>
          </cell>
          <cell r="F1104" t="str">
            <v>RESOLUCION</v>
          </cell>
          <cell r="G1104">
            <v>1429</v>
          </cell>
          <cell r="H1104">
            <v>43161</v>
          </cell>
          <cell r="I1104" t="str">
            <v>AYUDA TEMPORAL A LAS FAMILIAS DE VARIAS LOCALIDADES, PARA LA RELOCALIZACIÓN DE HOGARES LOCALIZADOS EN ZONAS DE ALTO RIESGO NO MITIGABLE ID:2015-3-14761, LOCALIDAD:03 SANTA FE, UPZ:96 LOURDES</v>
          </cell>
          <cell r="J1104">
            <v>4759785</v>
          </cell>
          <cell r="K1104">
            <v>0</v>
          </cell>
          <cell r="L1104">
            <v>4759785</v>
          </cell>
          <cell r="M1104">
            <v>1057730</v>
          </cell>
          <cell r="N1104">
            <v>3702055</v>
          </cell>
        </row>
        <row r="1105">
          <cell r="A1105">
            <v>649</v>
          </cell>
          <cell r="B1105">
            <v>1499</v>
          </cell>
          <cell r="C1105">
            <v>43161</v>
          </cell>
          <cell r="D1105" t="str">
            <v>MARIA INES SALAMANCA ROJAS</v>
          </cell>
          <cell r="E1105">
            <v>31</v>
          </cell>
          <cell r="F1105" t="str">
            <v>RESOLUCION</v>
          </cell>
          <cell r="G1105">
            <v>1430</v>
          </cell>
          <cell r="H1105">
            <v>43161</v>
          </cell>
          <cell r="I1105" t="str">
            <v>AYUDA TEMPORAL A LAS FAMILIAS DE VARIAS LOCALIDADES, PARA LA RELOCALIZACIÓN DE HOGARES LOCALIZADOS EN ZONAS DE ALTO RIESGO NO MITIGABLE ID:2015-Q09-01473, LOCALIDAD:19 CIUDAD BOLÍVAR, UPZ:67 LUCERO, SECTOR:QUEBRADA TROMPETA</v>
          </cell>
          <cell r="J1105">
            <v>4749371</v>
          </cell>
          <cell r="K1105">
            <v>0</v>
          </cell>
          <cell r="L1105">
            <v>4749371</v>
          </cell>
          <cell r="M1105">
            <v>431761</v>
          </cell>
          <cell r="N1105">
            <v>4317610</v>
          </cell>
        </row>
        <row r="1106">
          <cell r="A1106">
            <v>395</v>
          </cell>
          <cell r="B1106">
            <v>1500</v>
          </cell>
          <cell r="C1106">
            <v>43161</v>
          </cell>
          <cell r="D1106" t="str">
            <v>YENNY ROCIO MOTTA BERNAL</v>
          </cell>
          <cell r="E1106">
            <v>31</v>
          </cell>
          <cell r="F1106" t="str">
            <v>RESOLUCION</v>
          </cell>
          <cell r="G1106">
            <v>1419</v>
          </cell>
          <cell r="H1106">
            <v>43161</v>
          </cell>
          <cell r="I1106" t="str">
            <v>AYUDA TEMPORAL A LAS FAMILIAS DE VARIAS LOCALIDADES, PARA LA RELOCALIZACIÓN DE HOGARES LOCALIZADOS EN ZONAS DE ALTO RIESGO NO MITIGABLE ID:2012-4-14497, LOCALIDAD:04 SAN CRISTÓBAL, UPZ:32 SAN BLAS</v>
          </cell>
          <cell r="J1106">
            <v>5078073</v>
          </cell>
          <cell r="K1106">
            <v>0</v>
          </cell>
          <cell r="L1106">
            <v>5078073</v>
          </cell>
          <cell r="M1106">
            <v>1562484</v>
          </cell>
          <cell r="N1106">
            <v>3515589</v>
          </cell>
        </row>
        <row r="1107">
          <cell r="A1107">
            <v>649</v>
          </cell>
          <cell r="B1107">
            <v>1501</v>
          </cell>
          <cell r="C1107">
            <v>43161</v>
          </cell>
          <cell r="D1107" t="str">
            <v>ROSA MARIA ROMERO SARMIENTO</v>
          </cell>
          <cell r="E1107">
            <v>31</v>
          </cell>
          <cell r="F1107" t="str">
            <v>RESOLUCION</v>
          </cell>
          <cell r="G1107">
            <v>1444</v>
          </cell>
          <cell r="H1107">
            <v>43161</v>
          </cell>
          <cell r="I1107" t="str">
            <v>AYUDA TEMPORAL A LAS FAMILIAS DE VARIAS LOCALIDADES, PARA LA RELOCALIZACIÓN DE HOGARES LOCALIZADOS EN ZONAS DE ALTO RIESGO NO MITIGABLE ID:2015-Q24-01534, LOCALIDAD:03 SANTA FE, UPZ:96 LOURDES, SECTOR:SAN BRUNO</v>
          </cell>
          <cell r="J1107">
            <v>4453080</v>
          </cell>
          <cell r="K1107">
            <v>0</v>
          </cell>
          <cell r="L1107">
            <v>4453080</v>
          </cell>
          <cell r="M1107">
            <v>890616</v>
          </cell>
          <cell r="N1107">
            <v>3562464</v>
          </cell>
        </row>
        <row r="1108">
          <cell r="A1108">
            <v>649</v>
          </cell>
          <cell r="B1108">
            <v>1502</v>
          </cell>
          <cell r="C1108">
            <v>43161</v>
          </cell>
          <cell r="D1108" t="str">
            <v>YUDY JENNIFER PABON VEGA</v>
          </cell>
          <cell r="E1108">
            <v>31</v>
          </cell>
          <cell r="F1108" t="str">
            <v>RESOLUCION</v>
          </cell>
          <cell r="G1108">
            <v>1431</v>
          </cell>
          <cell r="H1108">
            <v>43161</v>
          </cell>
          <cell r="I1108" t="str">
            <v>AYUDA TEMPORAL A LAS FAMILIAS DE VARIAS LOCALIDADES, PARA LA RELOCALIZACIÓN DE HOGARES LOCALIZADOS EN ZONAS DE ALTO RIESGO NO MITIGABLE ID:2011-3-13137, LOCALIDAD:03 SANTA FE, UPZ:96 LOURDES</v>
          </cell>
          <cell r="J1108">
            <v>6499935</v>
          </cell>
          <cell r="K1108">
            <v>0</v>
          </cell>
          <cell r="L1108">
            <v>6499935</v>
          </cell>
          <cell r="M1108">
            <v>999990</v>
          </cell>
          <cell r="N1108">
            <v>5499945</v>
          </cell>
        </row>
        <row r="1109">
          <cell r="A1109">
            <v>649</v>
          </cell>
          <cell r="B1109">
            <v>1503</v>
          </cell>
          <cell r="C1109">
            <v>43161</v>
          </cell>
          <cell r="D1109" t="str">
            <v>GERMAN  RUBIO MORENO</v>
          </cell>
          <cell r="E1109">
            <v>31</v>
          </cell>
          <cell r="F1109" t="str">
            <v>RESOLUCION</v>
          </cell>
          <cell r="G1109">
            <v>1420</v>
          </cell>
          <cell r="H1109">
            <v>43161</v>
          </cell>
          <cell r="I1109" t="str">
            <v>AYUDA TEMPORAL A LAS FAMILIAS DE VARIAS LOCALIDADES, PARA LA RELOCALIZACIÓN DE HOGARES LOCALIZADOS EN ZONAS DE ALTO RIESGO NO MITIGABLE ID:2011-19-13761, LOCALIDAD:19 CIUDAD BOLÍVAR, UPZ:67 LUCERO</v>
          </cell>
          <cell r="J1109">
            <v>4296831</v>
          </cell>
          <cell r="K1109">
            <v>0</v>
          </cell>
          <cell r="L1109">
            <v>4296831</v>
          </cell>
          <cell r="M1109">
            <v>781242</v>
          </cell>
          <cell r="N1109">
            <v>3515589</v>
          </cell>
        </row>
        <row r="1110">
          <cell r="A1110">
            <v>649</v>
          </cell>
          <cell r="B1110">
            <v>1504</v>
          </cell>
          <cell r="C1110">
            <v>43161</v>
          </cell>
          <cell r="D1110" t="str">
            <v>JOSE  GUISA NARANJO</v>
          </cell>
          <cell r="E1110">
            <v>31</v>
          </cell>
          <cell r="F1110" t="str">
            <v>RESOLUCION</v>
          </cell>
          <cell r="G1110">
            <v>1445</v>
          </cell>
          <cell r="H1110">
            <v>43161</v>
          </cell>
          <cell r="I1110" t="str">
            <v>AYUDA TEMPORAL A LAS FAMILIAS DE VARIAS LOCALIDADES, PARA LA RELOCALIZACIÓN DE HOGARES LOCALIZADOS EN ZONAS DE ALTO RIESGO NO MITIGABLE ID:2012-18-14374, LOCALIDAD:18 RAFAEL URIBE URIBE, UPZ:55 DIANA TURBAY</v>
          </cell>
          <cell r="J1110">
            <v>2531226</v>
          </cell>
          <cell r="K1110">
            <v>0</v>
          </cell>
          <cell r="L1110">
            <v>2531226</v>
          </cell>
          <cell r="M1110">
            <v>843742</v>
          </cell>
          <cell r="N1110">
            <v>1687484</v>
          </cell>
        </row>
        <row r="1111">
          <cell r="A1111">
            <v>649</v>
          </cell>
          <cell r="B1111">
            <v>1505</v>
          </cell>
          <cell r="C1111">
            <v>43161</v>
          </cell>
          <cell r="D1111" t="str">
            <v>SIERVO ANTONIO ALBARRACIN ALBARRACIN</v>
          </cell>
          <cell r="E1111">
            <v>31</v>
          </cell>
          <cell r="F1111" t="str">
            <v>RESOLUCION</v>
          </cell>
          <cell r="G1111">
            <v>1447</v>
          </cell>
          <cell r="H1111">
            <v>43161</v>
          </cell>
          <cell r="I1111" t="str">
            <v>AYUDA TEMPORAL A LAS FAMILIAS DE VARIAS LOCALIDADES, PARA LA RELOCALIZACIÓN DE HOGARES LOCALIZADOS EN ZONAS DE ALTO RIESGO NO MITIGABLE ID:2014-P474-00746, LOCALIDAD:04 SAN CRISTÓBAL, UPZ:33 SOSIEGO, SECTOR:PROCESO LA MARIA</v>
          </cell>
          <cell r="J1111">
            <v>3983670</v>
          </cell>
          <cell r="K1111">
            <v>0</v>
          </cell>
          <cell r="L1111">
            <v>3983670</v>
          </cell>
          <cell r="M1111">
            <v>398367</v>
          </cell>
          <cell r="N1111">
            <v>3585303</v>
          </cell>
        </row>
        <row r="1112">
          <cell r="A1112">
            <v>649</v>
          </cell>
          <cell r="B1112">
            <v>1506</v>
          </cell>
          <cell r="C1112">
            <v>43161</v>
          </cell>
          <cell r="D1112" t="str">
            <v>LUZ HERMINDA MURILLO REIVA</v>
          </cell>
          <cell r="E1112">
            <v>31</v>
          </cell>
          <cell r="F1112" t="str">
            <v>RESOLUCION</v>
          </cell>
          <cell r="G1112">
            <v>1432</v>
          </cell>
          <cell r="H1112">
            <v>43161</v>
          </cell>
          <cell r="I1112" t="str">
            <v>AYUDA TEMPORAL A LAS FAMILIAS DE VARIAS LOCALIDADES, PARA LA RELOCALIZACIÓN DE HOGARES LOCALIZADOS EN ZONAS DE ALTO RIESGO NO MITIGABLE ID:2016-08-14857, LOCALIDAD:08 KENNEDY, UPZ:82 PATIO BONITO, SECTOR:PALMITAS</v>
          </cell>
          <cell r="J1112">
            <v>2522994</v>
          </cell>
          <cell r="K1112">
            <v>0</v>
          </cell>
          <cell r="L1112">
            <v>2522994</v>
          </cell>
          <cell r="M1112">
            <v>1261497</v>
          </cell>
          <cell r="N1112">
            <v>1261497</v>
          </cell>
        </row>
        <row r="1113">
          <cell r="A1113">
            <v>649</v>
          </cell>
          <cell r="B1113">
            <v>1507</v>
          </cell>
          <cell r="C1113">
            <v>43161</v>
          </cell>
          <cell r="D1113" t="str">
            <v>JEIMMY KATHERIN REYES DIAZ</v>
          </cell>
          <cell r="E1113">
            <v>31</v>
          </cell>
          <cell r="F1113" t="str">
            <v>RESOLUCION</v>
          </cell>
          <cell r="G1113">
            <v>1421</v>
          </cell>
          <cell r="H1113">
            <v>43161</v>
          </cell>
          <cell r="I1113" t="str">
            <v>AYUDA TEMPORAL A LAS FAMILIAS DE VARIAS LOCALIDADES, PARA LA RELOCALIZACIÓN DE HOGARES LOCALIZADOS EN ZONAS DE ALTO RIESGO NO MITIGABLE ID:2015-Q21-01403, LOCALIDAD:19 CIUDAD BOLÍVAR, UPZ:67 LUCERO, SECTOR:BRAZO DERECHO DE LIMAS</v>
          </cell>
          <cell r="J1113">
            <v>5863585</v>
          </cell>
          <cell r="K1113">
            <v>0</v>
          </cell>
          <cell r="L1113">
            <v>5863585</v>
          </cell>
          <cell r="M1113">
            <v>1804180</v>
          </cell>
          <cell r="N1113">
            <v>4059405</v>
          </cell>
        </row>
        <row r="1114">
          <cell r="A1114">
            <v>649</v>
          </cell>
          <cell r="B1114">
            <v>1508</v>
          </cell>
          <cell r="C1114">
            <v>43161</v>
          </cell>
          <cell r="D1114" t="str">
            <v>LIZETH  FRANCO OLAYA</v>
          </cell>
          <cell r="E1114">
            <v>31</v>
          </cell>
          <cell r="F1114" t="str">
            <v>RESOLUCION</v>
          </cell>
          <cell r="G1114">
            <v>1448</v>
          </cell>
          <cell r="H1114">
            <v>43161</v>
          </cell>
          <cell r="I1114" t="str">
            <v>AYUDA TEMPORAL A LAS FAMILIAS DE VARIAS LOCALIDADES, PARA LA RELOCALIZACIÓN DE HOGARES LOCALIZADOS EN ZONAS DE ALTO RIESGO NO MITIGABLE ID:2011-19-12905, LOCALIDAD:19 CIUDAD BOLÍVAR, UPZ:68 EL TESORO</v>
          </cell>
          <cell r="J1114">
            <v>2582006</v>
          </cell>
          <cell r="K1114">
            <v>0</v>
          </cell>
          <cell r="L1114">
            <v>2582006</v>
          </cell>
          <cell r="M1114">
            <v>1475432</v>
          </cell>
          <cell r="N1114">
            <v>1106574</v>
          </cell>
        </row>
        <row r="1115">
          <cell r="A1115">
            <v>649</v>
          </cell>
          <cell r="B1115">
            <v>1509</v>
          </cell>
          <cell r="C1115">
            <v>43161</v>
          </cell>
          <cell r="D1115" t="str">
            <v>ANA TULIA MARTINEZ OVALLE</v>
          </cell>
          <cell r="E1115">
            <v>31</v>
          </cell>
          <cell r="F1115" t="str">
            <v>RESOLUCION</v>
          </cell>
          <cell r="G1115">
            <v>1422</v>
          </cell>
          <cell r="H1115">
            <v>43161</v>
          </cell>
          <cell r="I1115" t="str">
            <v>AYUDA TEMPORAL A LAS FAMILIAS DE VARIAS LOCALIDADES, PARA LA RELOCALIZACIÓN DE HOGARES LOCALIZADOS EN ZONAS DE ALTO RIESGO NO MITIGABLE ID:2006-4-8834, LOCALIDAD:04 SAN CRISTÓBAL, UPZ:50 LA GLORIA</v>
          </cell>
          <cell r="J1115">
            <v>5062452</v>
          </cell>
          <cell r="K1115">
            <v>0</v>
          </cell>
          <cell r="L1115">
            <v>5062452</v>
          </cell>
          <cell r="M1115">
            <v>843742</v>
          </cell>
          <cell r="N1115">
            <v>4218710</v>
          </cell>
        </row>
        <row r="1116">
          <cell r="A1116">
            <v>649</v>
          </cell>
          <cell r="B1116">
            <v>1510</v>
          </cell>
          <cell r="C1116">
            <v>43161</v>
          </cell>
          <cell r="D1116" t="str">
            <v>YERALDIN  DAZA MALAGON</v>
          </cell>
          <cell r="E1116">
            <v>31</v>
          </cell>
          <cell r="F1116" t="str">
            <v>RESOLUCION</v>
          </cell>
          <cell r="G1116">
            <v>1449</v>
          </cell>
          <cell r="H1116">
            <v>43161</v>
          </cell>
          <cell r="I1116" t="str">
            <v>AYUDA TEMPORAL A LAS FAMILIAS DE VARIAS LOCALIDADES, PARA LA RELOCALIZACIÓN DE HOGARES LOCALIZADOS EN ZONAS DE ALTO RIESGO NO MITIGABLE ID:2016-08-14911, LOCALIDAD:08 KENNEDY, UPZ:82 PATIO BONITO, SECTOR:PALMITAS</v>
          </cell>
          <cell r="J1116">
            <v>4625489</v>
          </cell>
          <cell r="K1116">
            <v>0</v>
          </cell>
          <cell r="L1116">
            <v>4625489</v>
          </cell>
          <cell r="M1116">
            <v>840998</v>
          </cell>
          <cell r="N1116">
            <v>3784491</v>
          </cell>
        </row>
        <row r="1117">
          <cell r="A1117">
            <v>649</v>
          </cell>
          <cell r="B1117">
            <v>1511</v>
          </cell>
          <cell r="C1117">
            <v>43161</v>
          </cell>
          <cell r="D1117" t="str">
            <v>ANDREA ESTEFANIA DIAZ MENDOZA</v>
          </cell>
          <cell r="E1117">
            <v>31</v>
          </cell>
          <cell r="F1117" t="str">
            <v>RESOLUCION</v>
          </cell>
          <cell r="G1117">
            <v>1433</v>
          </cell>
          <cell r="H1117">
            <v>43161</v>
          </cell>
          <cell r="I1117" t="str">
            <v>AYUDA TEMPORAL A LAS FAMILIAS DE VARIAS LOCALIDADES, PARA LA RELOCALIZACIÓN DE HOGARES LOCALIZADOS EN ZONAS DE ALTO RIESGO NO MITIGABLE ID:2015-3-14760, LOCALIDAD:03 SANTA FE, UPZ:96 LOURDES</v>
          </cell>
          <cell r="J1117">
            <v>6875245</v>
          </cell>
          <cell r="K1117">
            <v>0</v>
          </cell>
          <cell r="L1117">
            <v>6875245</v>
          </cell>
          <cell r="M1117">
            <v>2115460</v>
          </cell>
          <cell r="N1117">
            <v>4759785</v>
          </cell>
        </row>
        <row r="1118">
          <cell r="A1118">
            <v>649</v>
          </cell>
          <cell r="B1118">
            <v>1512</v>
          </cell>
          <cell r="C1118">
            <v>43161</v>
          </cell>
          <cell r="D1118" t="str">
            <v>FREDY DE JESUS SOTO URIBE</v>
          </cell>
          <cell r="E1118">
            <v>31</v>
          </cell>
          <cell r="F1118" t="str">
            <v>RESOLUCION</v>
          </cell>
          <cell r="G1118">
            <v>1450</v>
          </cell>
          <cell r="H1118">
            <v>43161</v>
          </cell>
          <cell r="I1118" t="str">
            <v>AYUDA TEMPORAL A LAS FAMILIAS DE VARIAS LOCALIDADES, PARA LA RELOCALIZACIÓN DE HOGARES LOCALIZADOS EN ZONAS DE ALTO RIESGO NO MITIGABLE ID:2014-Q03-01244, LOCALIDAD:19 CIUDAD BOLÍVAR, UPZ:66 SAN FRANCISCO, SECTOR:LIMAS</v>
          </cell>
          <cell r="J1118">
            <v>4961495</v>
          </cell>
          <cell r="K1118">
            <v>0</v>
          </cell>
          <cell r="L1118">
            <v>4961495</v>
          </cell>
          <cell r="M1118">
            <v>902090</v>
          </cell>
          <cell r="N1118">
            <v>4059405</v>
          </cell>
        </row>
        <row r="1119">
          <cell r="A1119">
            <v>649</v>
          </cell>
          <cell r="B1119">
            <v>1513</v>
          </cell>
          <cell r="C1119">
            <v>43161</v>
          </cell>
          <cell r="D1119" t="str">
            <v>JACQUELINE ENCARNACIÓN NAVARRO CONDE</v>
          </cell>
          <cell r="E1119">
            <v>31</v>
          </cell>
          <cell r="F1119" t="str">
            <v>RESOLUCION</v>
          </cell>
          <cell r="G1119">
            <v>1423</v>
          </cell>
          <cell r="H1119">
            <v>43161</v>
          </cell>
          <cell r="I1119" t="str">
            <v>AYUDA TEMPORAL A LAS FAMILIAS DE VARIAS LOCALIDADES, PARA LA RELOCALIZACIÓN DE HOGARES LOCALIZADOS EN ZONAS DE ALTO RIESGO NO MITIGABLE ID:2004-5-5669, LOCALIDAD:05 USME, UPZ:59 ALFONSO LÓPEZ</v>
          </cell>
          <cell r="J1119">
            <v>4296831</v>
          </cell>
          <cell r="K1119">
            <v>0</v>
          </cell>
          <cell r="L1119">
            <v>4296831</v>
          </cell>
          <cell r="M1119">
            <v>390621</v>
          </cell>
          <cell r="N1119">
            <v>3906210</v>
          </cell>
        </row>
        <row r="1120">
          <cell r="A1120">
            <v>649</v>
          </cell>
          <cell r="B1120">
            <v>1514</v>
          </cell>
          <cell r="C1120">
            <v>43161</v>
          </cell>
          <cell r="D1120" t="str">
            <v>FLOR MARIA GARCIA CUAN</v>
          </cell>
          <cell r="E1120">
            <v>31</v>
          </cell>
          <cell r="F1120" t="str">
            <v>RESOLUCION</v>
          </cell>
          <cell r="G1120">
            <v>1451</v>
          </cell>
          <cell r="H1120">
            <v>43161</v>
          </cell>
          <cell r="I1120" t="str">
            <v>AYUDA TEMPORAL A LAS FAMILIAS DE VARIAS LOCALIDADES, PARA LA RELOCALIZACIÓN DE HOGARES LOCALIZADOS EN ZONAS DE ALTO RIESGO NO MITIGABLE ID:2012-18-14270, LOCALIDAD:18 RAFAEL URIBE URIBE, UPZ:55 DIANA TURBAY</v>
          </cell>
          <cell r="J1120">
            <v>2550150</v>
          </cell>
          <cell r="K1120">
            <v>0</v>
          </cell>
          <cell r="L1120">
            <v>2550150</v>
          </cell>
          <cell r="M1120">
            <v>1020060</v>
          </cell>
          <cell r="N1120">
            <v>1530090</v>
          </cell>
        </row>
        <row r="1121">
          <cell r="A1121">
            <v>649</v>
          </cell>
          <cell r="B1121">
            <v>1515</v>
          </cell>
          <cell r="C1121">
            <v>43161</v>
          </cell>
          <cell r="D1121" t="str">
            <v>MARIA ESPERANZA GOMEZ</v>
          </cell>
          <cell r="E1121">
            <v>31</v>
          </cell>
          <cell r="F1121" t="str">
            <v>RESOLUCION</v>
          </cell>
          <cell r="G1121">
            <v>1434</v>
          </cell>
          <cell r="H1121">
            <v>43161</v>
          </cell>
          <cell r="I1121" t="str">
            <v>AYUDA TEMPORAL A LAS FAMILIAS DE VARIAS LOCALIDADES, PARA LA RELOCALIZACIÓN DE HOGARES LOCALIZADOS EN ZONAS DE ALTO RIESGO NO MITIGABLE ID:2015-D227-00017, LOCALIDAD:04 SAN CRISTÓBAL, UPZ:51 LOS LIBERTADORES, SECTOR:SANTA TERESITA</v>
          </cell>
          <cell r="J1121">
            <v>5947019</v>
          </cell>
          <cell r="K1121">
            <v>0</v>
          </cell>
          <cell r="L1121">
            <v>5947019</v>
          </cell>
          <cell r="M1121">
            <v>1829852</v>
          </cell>
          <cell r="N1121">
            <v>4117167</v>
          </cell>
        </row>
        <row r="1122">
          <cell r="A1122">
            <v>649</v>
          </cell>
          <cell r="B1122">
            <v>1516</v>
          </cell>
          <cell r="C1122">
            <v>43161</v>
          </cell>
          <cell r="D1122" t="str">
            <v>CELIA LORENA AMARIS RIOS</v>
          </cell>
          <cell r="E1122">
            <v>31</v>
          </cell>
          <cell r="F1122" t="str">
            <v>RESOLUCION</v>
          </cell>
          <cell r="G1122">
            <v>1424</v>
          </cell>
          <cell r="H1122">
            <v>43161</v>
          </cell>
          <cell r="I1122" t="str">
            <v>AYUDA TEMPORAL A LAS FAMILIAS DE VARIAS LOCALIDADES, PARA LA RELOCALIZACIÓN DE HOGARES LOCALIZADOS EN ZONAS DE ALTO RIESGO NO MITIGABLE ID:2013-4-14659, LOCALIDAD:04 SAN CRISTÓBAL, UPZ:32 SAN BLAS</v>
          </cell>
          <cell r="J1122">
            <v>5946005</v>
          </cell>
          <cell r="K1122">
            <v>0</v>
          </cell>
          <cell r="L1122">
            <v>5946005</v>
          </cell>
          <cell r="M1122">
            <v>914770</v>
          </cell>
          <cell r="N1122">
            <v>5031235</v>
          </cell>
        </row>
        <row r="1123">
          <cell r="A1123">
            <v>649</v>
          </cell>
          <cell r="B1123">
            <v>1517</v>
          </cell>
          <cell r="C1123">
            <v>43161</v>
          </cell>
          <cell r="D1123" t="str">
            <v>ALONSO  RAMIREZ SAENZ</v>
          </cell>
          <cell r="E1123">
            <v>31</v>
          </cell>
          <cell r="F1123" t="str">
            <v>RESOLUCION</v>
          </cell>
          <cell r="G1123">
            <v>1452</v>
          </cell>
          <cell r="H1123">
            <v>43161</v>
          </cell>
          <cell r="I1123" t="str">
            <v>AYUDA TEMPORAL A LAS FAMILIAS DE VARIAS LOCALIDADES, PARA LA RELOCALIZACIÓN DE HOGARES LOCALIZADOS EN ZONAS DE ALTO RIESGO NO MITIGABLE ID:2013000322, LOCALIDAD:19 CIUDAD BOLÍVAR, UPZ:67 LUCERO, SECTOR:PEÑA COLORADA</v>
          </cell>
          <cell r="J1123">
            <v>4961495</v>
          </cell>
          <cell r="K1123">
            <v>0</v>
          </cell>
          <cell r="L1123">
            <v>4961495</v>
          </cell>
          <cell r="M1123">
            <v>902090</v>
          </cell>
          <cell r="N1123">
            <v>4059405</v>
          </cell>
        </row>
        <row r="1124">
          <cell r="A1124">
            <v>649</v>
          </cell>
          <cell r="B1124">
            <v>1518</v>
          </cell>
          <cell r="C1124">
            <v>43161</v>
          </cell>
          <cell r="D1124" t="str">
            <v>ELVIRA  FAJARDO</v>
          </cell>
          <cell r="E1124">
            <v>31</v>
          </cell>
          <cell r="F1124" t="str">
            <v>RESOLUCION</v>
          </cell>
          <cell r="G1124">
            <v>1425</v>
          </cell>
          <cell r="H1124">
            <v>43161</v>
          </cell>
          <cell r="I1124" t="str">
            <v>AYUDA TEMPORAL A LAS FAMILIAS DE VARIAS LOCALIDADES, PARA LA RELOCALIZACIÓN DE HOGARES LOCALIZADOS EN ZONAS DE ALTO RIESGO NO MITIGABLE ID:2013000529, LOCALIDAD:19 CIUDAD BOLÍVAR, UPZ:67 LUCERO, SECTOR:BRAZO DERECHO DE LIMAS</v>
          </cell>
          <cell r="J1124">
            <v>2695285</v>
          </cell>
          <cell r="K1124">
            <v>0</v>
          </cell>
          <cell r="L1124">
            <v>2695285</v>
          </cell>
          <cell r="M1124">
            <v>1078114</v>
          </cell>
          <cell r="N1124">
            <v>1617171</v>
          </cell>
        </row>
        <row r="1125">
          <cell r="A1125">
            <v>649</v>
          </cell>
          <cell r="B1125">
            <v>1519</v>
          </cell>
          <cell r="C1125">
            <v>43161</v>
          </cell>
          <cell r="D1125" t="str">
            <v>FRANCISCO JAVIER MONTENEGRO GONZALEZ</v>
          </cell>
          <cell r="E1125">
            <v>31</v>
          </cell>
          <cell r="F1125" t="str">
            <v>RESOLUCION</v>
          </cell>
          <cell r="G1125">
            <v>1426</v>
          </cell>
          <cell r="H1125">
            <v>43161</v>
          </cell>
          <cell r="I1125" t="str">
            <v>AYUDA TEMPORAL A LAS FAMILIAS DE VARIAS LOCALIDADES, PARA LA RELOCALIZACIÓN DE HOGARES LOCALIZADOS EN ZONAS DE ALTO RIESGO NO MITIGABLE ID:2014-Q20-01252, LOCALIDAD:04 SAN CRISTÓBAL, UPZ:50 LA GLORIA, SECTOR:LA CHIGUAZA</v>
          </cell>
          <cell r="J1125">
            <v>1992165</v>
          </cell>
          <cell r="K1125">
            <v>0</v>
          </cell>
          <cell r="L1125">
            <v>1992165</v>
          </cell>
          <cell r="M1125">
            <v>398433</v>
          </cell>
          <cell r="N1125">
            <v>1593732</v>
          </cell>
        </row>
        <row r="1126">
          <cell r="A1126">
            <v>649</v>
          </cell>
          <cell r="B1126">
            <v>1520</v>
          </cell>
          <cell r="C1126">
            <v>43161</v>
          </cell>
          <cell r="D1126" t="str">
            <v>ALBENIS  CARRILLO</v>
          </cell>
          <cell r="E1126">
            <v>31</v>
          </cell>
          <cell r="F1126" t="str">
            <v>RESOLUCION</v>
          </cell>
          <cell r="G1126">
            <v>1468</v>
          </cell>
          <cell r="H1126">
            <v>43161</v>
          </cell>
          <cell r="I1126" t="str">
            <v>AYUDA TEMPORAL A LAS FAMILIAS DE VARIAS LOCALIDADES, PARA LA RELOCALIZACIÓN DE HOGARES LOCALIZADOS EN ZONAS DE ALTO RIESGO NO MITIGABLE ID:2011-4-12661, LOCALIDAD:04 SAN CRISTÓBAL, UPZ:32 SAN BLAS</v>
          </cell>
          <cell r="J1126">
            <v>1562484</v>
          </cell>
          <cell r="K1126">
            <v>0</v>
          </cell>
          <cell r="L1126">
            <v>1562484</v>
          </cell>
          <cell r="M1126">
            <v>0</v>
          </cell>
          <cell r="N1126">
            <v>1562484</v>
          </cell>
        </row>
        <row r="1127">
          <cell r="A1127">
            <v>649</v>
          </cell>
          <cell r="B1127">
            <v>1521</v>
          </cell>
          <cell r="C1127">
            <v>43161</v>
          </cell>
          <cell r="D1127" t="str">
            <v>DIANA PATRICIA VENEGAS VARGAS</v>
          </cell>
          <cell r="E1127">
            <v>31</v>
          </cell>
          <cell r="F1127" t="str">
            <v>RESOLUCION</v>
          </cell>
          <cell r="G1127">
            <v>1467</v>
          </cell>
          <cell r="H1127">
            <v>43161</v>
          </cell>
          <cell r="I1127" t="str">
            <v>AYUDA TEMPORAL A LAS FAMILIAS DE VARIAS LOCALIDADES, PARA LA RELOCALIZACIÓN DE HOGARES LOCALIZADOS EN ZONAS DE ALTO RIESGO NO MITIGABLE ID:2014-19-14712, LOCALIDAD:19 CIUDAD BOLIVAR, UPZ:68 EL TESORO</v>
          </cell>
          <cell r="J1127">
            <v>4472160</v>
          </cell>
          <cell r="K1127">
            <v>0</v>
          </cell>
          <cell r="L1127">
            <v>4472160</v>
          </cell>
          <cell r="M1127">
            <v>813120</v>
          </cell>
          <cell r="N1127">
            <v>3659040</v>
          </cell>
        </row>
        <row r="1128">
          <cell r="A1128">
            <v>649</v>
          </cell>
          <cell r="B1128">
            <v>1522</v>
          </cell>
          <cell r="C1128">
            <v>43161</v>
          </cell>
          <cell r="D1128" t="str">
            <v>JOSE ALIRIO MARTINEZ OBANDO</v>
          </cell>
          <cell r="E1128">
            <v>31</v>
          </cell>
          <cell r="F1128" t="str">
            <v>RESOLUCION</v>
          </cell>
          <cell r="G1128">
            <v>1466</v>
          </cell>
          <cell r="H1128">
            <v>43161</v>
          </cell>
          <cell r="I1128" t="str">
            <v>AYUDA TEMPORAL A LAS FAMILIAS DE VARIAS LOCALIDADES, PARA LA RELOCALIZACIÓN DE HOGARES LOCALIZADOS EN ZONAS DE ALTO RIESGO NO MITIGABLE ID:2015-Q03-01304, LOCALIDAD:19 CIUDAD BOLIVAR, UPZ:67 LUCERO, SECTOR: LIMAS</v>
          </cell>
          <cell r="J1128">
            <v>6296810</v>
          </cell>
          <cell r="K1128">
            <v>0</v>
          </cell>
          <cell r="L1128">
            <v>6296810</v>
          </cell>
          <cell r="M1128">
            <v>968740</v>
          </cell>
          <cell r="N1128">
            <v>5328070</v>
          </cell>
        </row>
        <row r="1129">
          <cell r="A1129">
            <v>649</v>
          </cell>
          <cell r="B1129">
            <v>1523</v>
          </cell>
          <cell r="C1129">
            <v>43164</v>
          </cell>
          <cell r="D1129" t="str">
            <v>GLORIA  LASSO CARDOSO</v>
          </cell>
          <cell r="E1129">
            <v>31</v>
          </cell>
          <cell r="F1129" t="str">
            <v>RESOLUCION</v>
          </cell>
          <cell r="G1129">
            <v>1464</v>
          </cell>
          <cell r="H1129">
            <v>43164</v>
          </cell>
          <cell r="I1129" t="str">
            <v>AYUDA TEMPORAL A LAS FAMILIAS DE VARIAS LOCALIDADES, PARA LA RELOCALIZACIÓN DE HOGARES LOCALIZADOS EN ZONAS DE ALTO RIESGO NO MITIGABLE ID:2009-5-11196, LOCALIDAD:05 USME, UPZ:60 PARQUE ENTRENUBES</v>
          </cell>
          <cell r="J1129">
            <v>4021290</v>
          </cell>
          <cell r="K1129">
            <v>0</v>
          </cell>
          <cell r="L1129">
            <v>4021290</v>
          </cell>
          <cell r="M1129">
            <v>2297880</v>
          </cell>
          <cell r="N1129">
            <v>1723410</v>
          </cell>
        </row>
        <row r="1130">
          <cell r="A1130">
            <v>649</v>
          </cell>
          <cell r="B1130">
            <v>1524</v>
          </cell>
          <cell r="C1130">
            <v>43164</v>
          </cell>
          <cell r="D1130" t="str">
            <v>MARIA TERESA CASTILLO GONZALEZ</v>
          </cell>
          <cell r="E1130">
            <v>31</v>
          </cell>
          <cell r="F1130" t="str">
            <v>RESOLUCION</v>
          </cell>
          <cell r="G1130">
            <v>1465</v>
          </cell>
          <cell r="H1130">
            <v>43164</v>
          </cell>
          <cell r="I1130" t="str">
            <v>AYUDA TEMPORAL A LAS FAMILIAS DE VARIAS LOCALIDADES, PARA LA RELOCALIZACIÓN DE HOGARES LOCALIZADOS EN ZONAS DE ALTO RIESGO NO MITIGABLE ID:2009-19-11127, LOCALIDAD:19 CIUDAD BOLÍVAR, UPZ:67 LUCERO</v>
          </cell>
          <cell r="J1130">
            <v>3515589</v>
          </cell>
          <cell r="K1130">
            <v>0</v>
          </cell>
          <cell r="L1130">
            <v>3515589</v>
          </cell>
          <cell r="M1130">
            <v>781242</v>
          </cell>
          <cell r="N1130">
            <v>2734347</v>
          </cell>
        </row>
        <row r="1131">
          <cell r="A1131">
            <v>649</v>
          </cell>
          <cell r="B1131">
            <v>1526</v>
          </cell>
          <cell r="C1131">
            <v>43164</v>
          </cell>
          <cell r="D1131" t="str">
            <v>ANA YIBE BELTRAN HERNANDEZ</v>
          </cell>
          <cell r="E1131">
            <v>31</v>
          </cell>
          <cell r="F1131" t="str">
            <v>RESOLUCION</v>
          </cell>
          <cell r="G1131">
            <v>1479</v>
          </cell>
          <cell r="H1131">
            <v>43164</v>
          </cell>
          <cell r="I1131" t="str">
            <v>AYUDA TEMPORAL A LAS FAMILIAS DE VARIAS LOCALIDADES, PARA LA RELOCALIZACIÓN DE HOGARES LOCALIZADOS EN ZONAS DE ALTO RIESGO NO MITIGABLE ID:2014-Q04-00834, LOCALIDAD:19 CIUDAD BOLÍVAR, UPZ:67 LUCERO, SECTOR: PEÑA COLORADA</v>
          </cell>
          <cell r="J1131">
            <v>1953105</v>
          </cell>
          <cell r="K1131">
            <v>0</v>
          </cell>
          <cell r="L1131">
            <v>1953105</v>
          </cell>
          <cell r="M1131">
            <v>781242</v>
          </cell>
          <cell r="N1131">
            <v>1171863</v>
          </cell>
        </row>
        <row r="1132">
          <cell r="A1132">
            <v>649</v>
          </cell>
          <cell r="B1132">
            <v>1527</v>
          </cell>
          <cell r="C1132">
            <v>43164</v>
          </cell>
          <cell r="D1132" t="str">
            <v>JEISSON JAIR GARZON VARGAS</v>
          </cell>
          <cell r="E1132">
            <v>31</v>
          </cell>
          <cell r="F1132" t="str">
            <v>RESOLUCION</v>
          </cell>
          <cell r="G1132">
            <v>1480</v>
          </cell>
          <cell r="H1132">
            <v>43164</v>
          </cell>
          <cell r="I1132" t="str">
            <v>AYUDA TEMPORAL A LAS FAMILIAS DE VARIAS LOCALIDADES, PARA LA RELOCALIZACIÓN DE HOGARES LOCALIZADOS EN ZONAS DE ALTO RIESGO NO MITIGABLE ID:2016-04-00019, LOCALIDAD:04 SAN CRISTOBAL, UPZ:32 SAN BLAS, SECTOR: TRIANGULO ALTO</v>
          </cell>
          <cell r="J1132">
            <v>3983670</v>
          </cell>
          <cell r="K1132">
            <v>0</v>
          </cell>
          <cell r="L1132">
            <v>3983670</v>
          </cell>
          <cell r="M1132">
            <v>885260</v>
          </cell>
          <cell r="N1132">
            <v>3098410</v>
          </cell>
        </row>
        <row r="1133">
          <cell r="A1133">
            <v>649</v>
          </cell>
          <cell r="B1133">
            <v>1528</v>
          </cell>
          <cell r="C1133">
            <v>43164</v>
          </cell>
          <cell r="D1133" t="str">
            <v>HECTOR JULIO TOVAR AREVALO</v>
          </cell>
          <cell r="E1133">
            <v>31</v>
          </cell>
          <cell r="F1133" t="str">
            <v>RESOLUCION</v>
          </cell>
          <cell r="G1133">
            <v>1478</v>
          </cell>
          <cell r="H1133">
            <v>43164</v>
          </cell>
          <cell r="I1133" t="str">
            <v>AYUDA TEMPORAL A LAS FAMILIAS DE VARIAS LOCALIDADES, PARA LA RELOCALIZACIÓN DE HOGARES LOCALIZADOS EN ZONAS DE ALTO RIESGO NO MITIGABLE ID:2015-Q03-01449, LOCALIDAD:19 CIUDAD BOLÍVAR, UPZ:66 SAN FRANCISCO, SECTOR:LIMAS</v>
          </cell>
          <cell r="J1133">
            <v>2706270</v>
          </cell>
          <cell r="K1133">
            <v>0</v>
          </cell>
          <cell r="L1133">
            <v>2706270</v>
          </cell>
          <cell r="M1133">
            <v>902090</v>
          </cell>
          <cell r="N1133">
            <v>1804180</v>
          </cell>
        </row>
        <row r="1134">
          <cell r="A1134">
            <v>649</v>
          </cell>
          <cell r="B1134">
            <v>1529</v>
          </cell>
          <cell r="C1134">
            <v>43165</v>
          </cell>
          <cell r="D1134" t="str">
            <v>ERASMO  PORRAS LOPEZ</v>
          </cell>
          <cell r="E1134">
            <v>31</v>
          </cell>
          <cell r="F1134" t="str">
            <v>RESOLUCION</v>
          </cell>
          <cell r="G1134">
            <v>1476</v>
          </cell>
          <cell r="H1134">
            <v>43165</v>
          </cell>
          <cell r="I1134" t="str">
            <v>AYUDA TEMPORAL A LAS FAMILIAS DE VARIAS LOCALIDADES, PARA LA RELOCALIZACIÓN DE HOGARES LOCALIZADOS EN ZONAS DE ALTO RIESGO NO MITIGABLE ID:2011-20-13381, LOCALIDAD:20 SUMAPAZ, UPZ:5 UPR RIO SUMAPAZ</v>
          </cell>
          <cell r="J1134">
            <v>7109297</v>
          </cell>
          <cell r="K1134">
            <v>0</v>
          </cell>
          <cell r="L1134">
            <v>7109297</v>
          </cell>
          <cell r="M1134">
            <v>1093738</v>
          </cell>
          <cell r="N1134">
            <v>6015559</v>
          </cell>
        </row>
        <row r="1135">
          <cell r="A1135">
            <v>649</v>
          </cell>
          <cell r="B1135">
            <v>1530</v>
          </cell>
          <cell r="C1135">
            <v>43165</v>
          </cell>
          <cell r="D1135" t="str">
            <v>LUISA FERNANDA MARULANDA</v>
          </cell>
          <cell r="E1135">
            <v>31</v>
          </cell>
          <cell r="F1135" t="str">
            <v>RESOLUCION</v>
          </cell>
          <cell r="G1135">
            <v>1477</v>
          </cell>
          <cell r="H1135">
            <v>43165</v>
          </cell>
          <cell r="I1135" t="str">
            <v>AYUDA TEMPORAL A LAS FAMILIAS DE VARIAS LOCALIDADES, PARA LA RELOCALIZACIÓN DE HOGARES LOCALIZADOS EN ZONAS DE ALTO RIESGO NO MITIGABLE ID:2016-08-14789, LOCALIDAD:08 KENNEDY, UPZ:82 PATIO BONITO, SECTOR:PALMITAS</v>
          </cell>
          <cell r="J1135">
            <v>3784491</v>
          </cell>
          <cell r="K1135">
            <v>0</v>
          </cell>
          <cell r="L1135">
            <v>3784491</v>
          </cell>
          <cell r="M1135">
            <v>1681996</v>
          </cell>
          <cell r="N1135">
            <v>2102495</v>
          </cell>
        </row>
        <row r="1136">
          <cell r="A1136">
            <v>483</v>
          </cell>
          <cell r="B1136">
            <v>1535</v>
          </cell>
          <cell r="C1136">
            <v>43165</v>
          </cell>
          <cell r="D1136" t="str">
            <v>CAJA DE VIVIENDA POPULAR</v>
          </cell>
          <cell r="E1136">
            <v>1</v>
          </cell>
          <cell r="F1136" t="str">
            <v>RELACION DE AUTORIZACION</v>
          </cell>
          <cell r="G1136">
            <v>22</v>
          </cell>
          <cell r="H1136">
            <v>43165</v>
          </cell>
          <cell r="I1136" t="str">
            <v>PAGO DE MI PLANILLA SEGURIDAD SOCIAL Y PARAFISCALES DE LA PLANTA TEMPORAL DE LA ENTIDAD DEL MES DE FEBRERO DE 2018 PROYECTO 3075</v>
          </cell>
          <cell r="J1136">
            <v>32883000</v>
          </cell>
          <cell r="K1136">
            <v>0</v>
          </cell>
          <cell r="L1136">
            <v>32883000</v>
          </cell>
          <cell r="M1136">
            <v>32883000</v>
          </cell>
          <cell r="N1136">
            <v>0</v>
          </cell>
        </row>
        <row r="1137">
          <cell r="A1137">
            <v>649</v>
          </cell>
          <cell r="B1137">
            <v>1538</v>
          </cell>
          <cell r="C1137">
            <v>43165</v>
          </cell>
          <cell r="D1137" t="str">
            <v>NOEL  SUSA MAYORGA</v>
          </cell>
          <cell r="E1137">
            <v>31</v>
          </cell>
          <cell r="F1137" t="str">
            <v>RESOLUCION</v>
          </cell>
          <cell r="G1137">
            <v>1446</v>
          </cell>
          <cell r="H1137">
            <v>43165</v>
          </cell>
          <cell r="I1137" t="str">
            <v>AYUDA TEMPORAL A LAS FAMILIAS DE VARIAS LOCALIDADES, PARA LA RELOCALIZACIÓN DE HOGARES LOCALIZADOS EN ZONAS DE ALTO RIESGO NO MITIGABLE ID:2012-20-14546, LOCALIDAD:20 SUMAPAZ, UPZ:5 UPR RIO SUMAPAZ</v>
          </cell>
          <cell r="J1137">
            <v>5468690</v>
          </cell>
          <cell r="K1137">
            <v>0</v>
          </cell>
          <cell r="L1137">
            <v>5468690</v>
          </cell>
          <cell r="M1137">
            <v>1093738</v>
          </cell>
          <cell r="N1137">
            <v>4374952</v>
          </cell>
        </row>
        <row r="1138">
          <cell r="A1138">
            <v>649</v>
          </cell>
          <cell r="B1138">
            <v>1539</v>
          </cell>
          <cell r="C1138">
            <v>43165</v>
          </cell>
          <cell r="D1138" t="str">
            <v>ANDREA  PUENTES NIÑO</v>
          </cell>
          <cell r="E1138">
            <v>31</v>
          </cell>
          <cell r="F1138" t="str">
            <v>RESOLUCION</v>
          </cell>
          <cell r="G1138">
            <v>1484</v>
          </cell>
          <cell r="H1138">
            <v>43165</v>
          </cell>
          <cell r="I1138" t="str">
            <v>AYUDA TEMPORAL A LAS FAMILIAS DE VARIAS LOCALIDADES, PARA LA RELOCALIZACIÓN DE HOGARES LOCALIZADOS EN ZONAS DE ALTO RIESGO NO MITIGABLE ID:2013000495, LOCALIDAD:19 CIUDAD BOLÍVAR, UPZ:67 LUCERO, SECTOR:PEÑA COLORADA</v>
          </cell>
          <cell r="J1138">
            <v>2102495</v>
          </cell>
          <cell r="K1138">
            <v>0</v>
          </cell>
          <cell r="L1138">
            <v>2102495</v>
          </cell>
          <cell r="M1138">
            <v>420499</v>
          </cell>
          <cell r="N1138">
            <v>1681996</v>
          </cell>
        </row>
        <row r="1139">
          <cell r="A1139">
            <v>649</v>
          </cell>
          <cell r="B1139">
            <v>1544</v>
          </cell>
          <cell r="C1139">
            <v>43166</v>
          </cell>
          <cell r="D1139" t="str">
            <v>MARIA ELIZABETH GONZALEZ SIMBACICA</v>
          </cell>
          <cell r="E1139">
            <v>31</v>
          </cell>
          <cell r="F1139" t="str">
            <v>RESOLUCION</v>
          </cell>
          <cell r="G1139">
            <v>1482</v>
          </cell>
          <cell r="H1139">
            <v>43166</v>
          </cell>
          <cell r="I1139" t="str">
            <v>AYUDA TEMPORAL A LAS FAMILIAS DE VARIAS LOCALIDADES, PARA LA RELOCALIZACIÓN DE HOGARES LOCALIZADOS EN ZONAS DE ALTO RIESGO NO MITIGABLE ID:2013-Q09-00130, LOCALIDAD:19 CIUDAD BOLÍVAR, UPZ:67 LUCERO, SECTOR:QUEBRADA TROMPETA</v>
          </cell>
          <cell r="J1139">
            <v>4296831</v>
          </cell>
          <cell r="K1139">
            <v>0</v>
          </cell>
          <cell r="L1139">
            <v>4296831</v>
          </cell>
          <cell r="M1139">
            <v>781242</v>
          </cell>
          <cell r="N1139">
            <v>3515589</v>
          </cell>
        </row>
        <row r="1140">
          <cell r="A1140">
            <v>649</v>
          </cell>
          <cell r="B1140">
            <v>1545</v>
          </cell>
          <cell r="C1140">
            <v>43166</v>
          </cell>
          <cell r="D1140" t="str">
            <v>ROSA ELENA HIGUERA GUACANEME</v>
          </cell>
          <cell r="E1140">
            <v>31</v>
          </cell>
          <cell r="F1140" t="str">
            <v>RESOLUCION</v>
          </cell>
          <cell r="G1140">
            <v>1483</v>
          </cell>
          <cell r="H1140">
            <v>43166</v>
          </cell>
          <cell r="I1140" t="str">
            <v>AYUDA TEMPORAL A LAS FAMILIAS DE VARIAS LOCALIDADES, PARA LA RELOCALIZACIÓN DE HOGARES LOCALIZADOS EN ZONAS DE ALTO RIESGO NO MITIGABLE ID:2016-08-14823, LOCALIDAD:08 KENNEDY, UPZ:82 PATIO BONITO, SECTOR:PALMITAS</v>
          </cell>
          <cell r="J1140">
            <v>7170319</v>
          </cell>
          <cell r="K1140">
            <v>0</v>
          </cell>
          <cell r="L1140">
            <v>7170319</v>
          </cell>
          <cell r="M1140">
            <v>2206252</v>
          </cell>
          <cell r="N1140">
            <v>4964067</v>
          </cell>
        </row>
        <row r="1141">
          <cell r="A1141">
            <v>649</v>
          </cell>
          <cell r="B1141">
            <v>1548</v>
          </cell>
          <cell r="C1141">
            <v>43172</v>
          </cell>
          <cell r="D1141" t="str">
            <v>JORGE ADELMO LEAL</v>
          </cell>
          <cell r="E1141">
            <v>31</v>
          </cell>
          <cell r="F1141" t="str">
            <v>RESOLUCION</v>
          </cell>
          <cell r="G1141">
            <v>1503</v>
          </cell>
          <cell r="H1141">
            <v>43172</v>
          </cell>
          <cell r="I1141" t="str">
            <v>AYUDA TEMPORAL A LAS FAMILIAS DE VARIAS LOCALIDADES, PARA LA RELOCALIZACIÓN DE HOGARES LOCALIZADOS EN ZONAS DE ALTO RIESGO NO MITIGABLE ID:1999-4-3094, LOCALIDAD:04 SAN CRISTÓBAL, UPZ:32 SAN BLAS</v>
          </cell>
          <cell r="J1141">
            <v>4317610</v>
          </cell>
          <cell r="K1141">
            <v>0</v>
          </cell>
          <cell r="L1141">
            <v>4317610</v>
          </cell>
          <cell r="M1141">
            <v>863522</v>
          </cell>
          <cell r="N1141">
            <v>3454088</v>
          </cell>
        </row>
        <row r="1142">
          <cell r="A1142">
            <v>649</v>
          </cell>
          <cell r="B1142">
            <v>1549</v>
          </cell>
          <cell r="C1142">
            <v>43172</v>
          </cell>
          <cell r="D1142" t="str">
            <v>JADIR LEONARDO RODRIGUEZ VELASQUEZ</v>
          </cell>
          <cell r="E1142">
            <v>31</v>
          </cell>
          <cell r="F1142" t="str">
            <v>RESOLUCION</v>
          </cell>
          <cell r="G1142">
            <v>1498</v>
          </cell>
          <cell r="H1142">
            <v>43144</v>
          </cell>
          <cell r="I1142" t="str">
            <v>AYUDA TEMPORAL A LAS FAMILIAS DE VARIAS LOCALIDADES, PARA LA RELOCALIZACIÓN DE HOGARES LOCALIZADOS EN ZONAS DE ALTO RIESGO NO MITIGABLE ID:2015-OTR-01377, LOCALIDAD:11 SUBA, UPZ:71 TIBABUYES, SECTOR:GAVILANES</v>
          </cell>
          <cell r="J1142">
            <v>3516527</v>
          </cell>
          <cell r="K1142">
            <v>0</v>
          </cell>
          <cell r="L1142">
            <v>3516527</v>
          </cell>
          <cell r="M1142">
            <v>1507083</v>
          </cell>
          <cell r="N1142">
            <v>2009444</v>
          </cell>
        </row>
        <row r="1143">
          <cell r="A1143">
            <v>649</v>
          </cell>
          <cell r="B1143">
            <v>1550</v>
          </cell>
          <cell r="C1143">
            <v>43172</v>
          </cell>
          <cell r="D1143" t="str">
            <v>VIVIANA AIDE HERRERA SALGADO</v>
          </cell>
          <cell r="E1143">
            <v>31</v>
          </cell>
          <cell r="F1143" t="str">
            <v>RESOLUCION</v>
          </cell>
          <cell r="G1143">
            <v>1499</v>
          </cell>
          <cell r="H1143">
            <v>43172</v>
          </cell>
          <cell r="I1143" t="str">
            <v>AYUDA TEMPORAL A LAS FAMILIAS DE VARIAS LOCALIDADES, PARA LA RELOCALIZACIÓN DE HOGARES LOCALIZADOS EN ZONAS DE ALTO RIESGO NO MITIGABLE ID:2007-4-9326, LOCALIDAD:04 SAN CRISTÓBAL, UPZ:32 SAN BLAS</v>
          </cell>
          <cell r="J1143">
            <v>5531994</v>
          </cell>
          <cell r="K1143">
            <v>0</v>
          </cell>
          <cell r="L1143">
            <v>5531994</v>
          </cell>
          <cell r="M1143">
            <v>851076</v>
          </cell>
          <cell r="N1143">
            <v>4680918</v>
          </cell>
        </row>
        <row r="1144">
          <cell r="A1144">
            <v>395</v>
          </cell>
          <cell r="B1144">
            <v>1551</v>
          </cell>
          <cell r="C1144">
            <v>43172</v>
          </cell>
          <cell r="D1144" t="str">
            <v>SANDRA NATALIA ORTEGA SORIANO</v>
          </cell>
          <cell r="E1144">
            <v>31</v>
          </cell>
          <cell r="F1144" t="str">
            <v>RESOLUCION</v>
          </cell>
          <cell r="G1144">
            <v>1500</v>
          </cell>
          <cell r="H1144">
            <v>43172</v>
          </cell>
          <cell r="I1144" t="str">
            <v>AYUDA TEMPORAL A LAS FAMILIAS DE VARIAS LOCALIDADES, PARA RELOCALIZACIÓN DE HOGARES LOCALIZADOS EN ZONAS DE ALTO RIESGO NO MITIGABLE ID:2013000120, LOCALIDAD:19 CIUDAD BOLÍVAR, UPZ:67 LUCERO, SECTOR:QUEBRADA CAÑO BAÚL</v>
          </cell>
          <cell r="J1144">
            <v>4310000</v>
          </cell>
          <cell r="K1144">
            <v>0</v>
          </cell>
          <cell r="L1144">
            <v>4310000</v>
          </cell>
          <cell r="M1144">
            <v>1724000</v>
          </cell>
          <cell r="N1144">
            <v>2586000</v>
          </cell>
        </row>
        <row r="1145">
          <cell r="A1145">
            <v>649</v>
          </cell>
          <cell r="B1145">
            <v>1552</v>
          </cell>
          <cell r="C1145">
            <v>43172</v>
          </cell>
          <cell r="D1145" t="str">
            <v>BAYRON STIVEN URIBE CASTELLANOS</v>
          </cell>
          <cell r="E1145">
            <v>31</v>
          </cell>
          <cell r="F1145" t="str">
            <v>RESOLUCION</v>
          </cell>
          <cell r="G1145">
            <v>1497</v>
          </cell>
          <cell r="H1145">
            <v>43172</v>
          </cell>
          <cell r="I1145" t="str">
            <v>AYUDA TEMPORAL A LAS FAMILIAS DE VARIAS LOCALIDADES, PARA LA RELOCALIZACIÓN DE HOGARES LOCALIZADOS EN ZONAS DE ALTO RIESGO NO MITIGABLE ID:2015-Q03-01300, LOCALIDAD:19 CIUDAD BOLÍVAR, UPZ:67 LUCERO, SECTOR:LIMAS</v>
          </cell>
          <cell r="J1145">
            <v>4961495</v>
          </cell>
          <cell r="K1145">
            <v>0</v>
          </cell>
          <cell r="L1145">
            <v>4961495</v>
          </cell>
          <cell r="M1145">
            <v>902090</v>
          </cell>
          <cell r="N1145">
            <v>4059405</v>
          </cell>
        </row>
        <row r="1146">
          <cell r="A1146">
            <v>649</v>
          </cell>
          <cell r="B1146">
            <v>1553</v>
          </cell>
          <cell r="C1146">
            <v>43172</v>
          </cell>
          <cell r="D1146" t="str">
            <v>JAIRO HUMBERTO GARCIA BAREÑO</v>
          </cell>
          <cell r="E1146">
            <v>31</v>
          </cell>
          <cell r="F1146" t="str">
            <v>RESOLUCION</v>
          </cell>
          <cell r="G1146">
            <v>1496</v>
          </cell>
          <cell r="H1146">
            <v>43172</v>
          </cell>
          <cell r="I1146" t="str">
            <v>AYUDA TEMPORAL A LAS FAMILIAS DE VARIAS LOCALIDADES, PARA LA RELOCALIZACIÓN DE HOGARES LOCALIZADOS EN ZONAS DE ALTO RIESGO NO MITIGABLE ID:2012-19-13915, LOCALIDAD:19 CIUDAD BOLÍVAR, UPZ:67 LUCERO</v>
          </cell>
          <cell r="J1146">
            <v>2976827</v>
          </cell>
          <cell r="K1146">
            <v>0</v>
          </cell>
          <cell r="L1146">
            <v>2976827</v>
          </cell>
          <cell r="M1146">
            <v>1701044</v>
          </cell>
          <cell r="N1146">
            <v>1275783</v>
          </cell>
        </row>
        <row r="1147">
          <cell r="A1147">
            <v>649</v>
          </cell>
          <cell r="B1147">
            <v>1554</v>
          </cell>
          <cell r="C1147">
            <v>43172</v>
          </cell>
          <cell r="D1147" t="str">
            <v>DANIEL CALIXTO ORDOÑEZ BOLIVAR</v>
          </cell>
          <cell r="E1147">
            <v>31</v>
          </cell>
          <cell r="F1147" t="str">
            <v>RESOLUCION</v>
          </cell>
          <cell r="G1147">
            <v>1495</v>
          </cell>
          <cell r="H1147">
            <v>43172</v>
          </cell>
          <cell r="I1147" t="str">
            <v>AYUDA TEMPORAL A LAS FAMILIAS DE VARIAS LOCALIDADES, PARA LA RELOCALIZACIÓN DE HOGARES LOCALIZADOS EN ZONAS DE ALTO RIESGO NO MITIGABLE ID:2014-OTR-00976, LOCALIDAD:19 CIUDAD BOLÍVAR, UPZ:67 LUCERO, SECTOR:TABOR ALTALOMA</v>
          </cell>
          <cell r="J1147">
            <v>5104011</v>
          </cell>
          <cell r="K1147">
            <v>0</v>
          </cell>
          <cell r="L1147">
            <v>5104011</v>
          </cell>
          <cell r="M1147">
            <v>928002</v>
          </cell>
          <cell r="N1147">
            <v>4176009</v>
          </cell>
        </row>
        <row r="1148">
          <cell r="A1148">
            <v>687</v>
          </cell>
          <cell r="B1148">
            <v>1555</v>
          </cell>
          <cell r="C1148">
            <v>43172</v>
          </cell>
          <cell r="D1148" t="str">
            <v>JUAN DAVID CUADROS GARZON</v>
          </cell>
          <cell r="E1148">
            <v>145</v>
          </cell>
          <cell r="F1148" t="str">
            <v>CONTRATO DE PRESTACION DE SERVICIOS PROFESIONALES</v>
          </cell>
          <cell r="G1148">
            <v>537</v>
          </cell>
          <cell r="H1148">
            <v>43172</v>
          </cell>
          <cell r="I1148" t="str">
            <v>Pròrroga y Adiciòn al Contrato No 537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48">
            <v>12000000</v>
          </cell>
          <cell r="K1148">
            <v>0</v>
          </cell>
          <cell r="L1148">
            <v>12000000</v>
          </cell>
          <cell r="M1148">
            <v>2266667</v>
          </cell>
          <cell r="N1148">
            <v>9733333</v>
          </cell>
        </row>
        <row r="1149">
          <cell r="A1149">
            <v>708</v>
          </cell>
          <cell r="B1149">
            <v>1556</v>
          </cell>
          <cell r="C1149">
            <v>43172</v>
          </cell>
          <cell r="D1149" t="str">
            <v>CONSUELO  NAVAS MARTINEZ</v>
          </cell>
          <cell r="E1149">
            <v>145</v>
          </cell>
          <cell r="F1149" t="str">
            <v>CONTRATO DE PRESTACION DE SERVICIOS PROFESIONALES</v>
          </cell>
          <cell r="G1149">
            <v>536</v>
          </cell>
          <cell r="H1149">
            <v>43172</v>
          </cell>
          <cell r="I1149" t="str">
            <v>"PRÒRROGA Y ADICIÒN AL CONTRATO NO 536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49">
            <v>15300000</v>
          </cell>
          <cell r="K1149">
            <v>0</v>
          </cell>
          <cell r="L1149">
            <v>15300000</v>
          </cell>
          <cell r="M1149">
            <v>2890000</v>
          </cell>
          <cell r="N1149">
            <v>12410000</v>
          </cell>
        </row>
        <row r="1150">
          <cell r="A1150">
            <v>649</v>
          </cell>
          <cell r="B1150">
            <v>1557</v>
          </cell>
          <cell r="C1150">
            <v>43173</v>
          </cell>
          <cell r="D1150" t="str">
            <v>MARTA CECILIA GARCIA</v>
          </cell>
          <cell r="E1150">
            <v>31</v>
          </cell>
          <cell r="F1150" t="str">
            <v>RESOLUCION</v>
          </cell>
          <cell r="G1150">
            <v>1523</v>
          </cell>
          <cell r="H1150">
            <v>43173</v>
          </cell>
          <cell r="I1150" t="str">
            <v>AYUDA TEMPORAL A LAS FAMILIAS DE VARIAS LOCALIDADES, PARA LA RELOCALIZACIÓN DE HOGARES LOCALIZADOS EN ZONAS DE ALTO RIESGO NO MITIGABLE ID:2011-4-12716, LOCALIDAD:04 SAN CRISTÓBAL, UPZ:32 SAN BLAS</v>
          </cell>
          <cell r="J1150">
            <v>5780541</v>
          </cell>
          <cell r="K1150">
            <v>0</v>
          </cell>
          <cell r="L1150">
            <v>5780541</v>
          </cell>
          <cell r="M1150">
            <v>889314</v>
          </cell>
          <cell r="N1150">
            <v>4891227</v>
          </cell>
        </row>
        <row r="1151">
          <cell r="A1151">
            <v>649</v>
          </cell>
          <cell r="B1151">
            <v>1558</v>
          </cell>
          <cell r="C1151">
            <v>43173</v>
          </cell>
          <cell r="D1151" t="str">
            <v>CARMEN ELISA RODRIGUEZ SANABRIA</v>
          </cell>
          <cell r="E1151">
            <v>31</v>
          </cell>
          <cell r="F1151" t="str">
            <v>RESOLUCION</v>
          </cell>
          <cell r="G1151">
            <v>1524</v>
          </cell>
          <cell r="H1151">
            <v>43173</v>
          </cell>
          <cell r="I1151" t="str">
            <v>AYUDA TEMPORAL A LAS FAMILIAS DE VARIAS LOCALIDADES, PARA LA RELOCALIZACIÓN DE HOGARES LOCALIZADOS EN ZONAS DE ALTO RIESGO NO MITIGABLE ID:2015-D227-00013, LOCALIDAD:04 SAN CRISTÓBAL, UPZ:51 LOS LIBERTADORES, SECTOR:SANTA TERESITA</v>
          </cell>
          <cell r="J1151">
            <v>4942301</v>
          </cell>
          <cell r="K1151">
            <v>0</v>
          </cell>
          <cell r="L1151">
            <v>4942301</v>
          </cell>
          <cell r="M1151">
            <v>1520708</v>
          </cell>
          <cell r="N1151">
            <v>3421593</v>
          </cell>
        </row>
        <row r="1152">
          <cell r="A1152">
            <v>649</v>
          </cell>
          <cell r="B1152">
            <v>1559</v>
          </cell>
          <cell r="C1152">
            <v>43173</v>
          </cell>
          <cell r="D1152" t="str">
            <v>MARIA CELINA ÑEÑETOFE MATIAS</v>
          </cell>
          <cell r="E1152">
            <v>31</v>
          </cell>
          <cell r="F1152" t="str">
            <v>RESOLUCION</v>
          </cell>
          <cell r="G1152">
            <v>1525</v>
          </cell>
          <cell r="H1152">
            <v>43173</v>
          </cell>
          <cell r="I1152" t="str">
            <v>AYUDA TEMPORAL A LAS FAMILIAS DE VARIAS LOCALIDADES, PARA LA RELOCALIZACIÓN DE HOGARES LOCALIZADOS EN ZONAS DE ALTO RIESGO NO MITIGABLE ID:2015-W166-524, LOCALIDAD:04 SAN CRISTÓBAL, UPZ:32 SAN BLAS, SECTOR:UITOTO</v>
          </cell>
          <cell r="J1152">
            <v>5219370</v>
          </cell>
          <cell r="K1152">
            <v>0</v>
          </cell>
          <cell r="L1152">
            <v>5219370</v>
          </cell>
          <cell r="M1152">
            <v>579930</v>
          </cell>
          <cell r="N1152">
            <v>4639440</v>
          </cell>
        </row>
        <row r="1153">
          <cell r="A1153">
            <v>649</v>
          </cell>
          <cell r="B1153">
            <v>1560</v>
          </cell>
          <cell r="C1153">
            <v>43173</v>
          </cell>
          <cell r="D1153" t="str">
            <v>JUAN  ROMERO HERRERA</v>
          </cell>
          <cell r="E1153">
            <v>31</v>
          </cell>
          <cell r="F1153" t="str">
            <v>RESOLUCION</v>
          </cell>
          <cell r="G1153">
            <v>1517</v>
          </cell>
          <cell r="H1153">
            <v>43173</v>
          </cell>
          <cell r="I1153" t="str">
            <v>AYUDA TEMPORAL A LAS FAMILIAS DE VARIAS LOCALIDADES, PARA LA RELOCALIZACIÓN DE HOGARES LOCALIZADOS EN ZONAS DE ALTO RIESGO NO MITIGABLE ID:2006-19-8562, LOCALIDAD:19 CIUDAD BOLÍVAR, UPZ:68 EL TESORO, SECTOR:QUEBRADA EL INFIERNO</v>
          </cell>
          <cell r="J1153">
            <v>7109297</v>
          </cell>
          <cell r="K1153">
            <v>0</v>
          </cell>
          <cell r="L1153">
            <v>7109297</v>
          </cell>
          <cell r="M1153">
            <v>546869</v>
          </cell>
          <cell r="N1153">
            <v>6562428</v>
          </cell>
        </row>
        <row r="1154">
          <cell r="A1154">
            <v>395</v>
          </cell>
          <cell r="B1154">
            <v>1561</v>
          </cell>
          <cell r="C1154">
            <v>43173</v>
          </cell>
          <cell r="D1154" t="str">
            <v>ALIRIO  HOYOS</v>
          </cell>
          <cell r="E1154">
            <v>31</v>
          </cell>
          <cell r="F1154" t="str">
            <v>RESOLUCION</v>
          </cell>
          <cell r="G1154">
            <v>1514</v>
          </cell>
          <cell r="H1154">
            <v>43173</v>
          </cell>
          <cell r="I1154" t="str">
            <v>AYUDA TEMPORAL A LAS FAMILIAS DE VARIAS LOCALIDADES, PARA RELOCALIZACIÓN DE HOGARES LOCALIZADOS EN ZONAS DE ALTO RIESGO NO MITIGABLE ID:2015-Q03-01359, LOCALIDAD:19 CIUDAD BOLÍVAR, UPZ:66 SAN FRANCISCO, SECTOR:LIMAS</v>
          </cell>
          <cell r="J1154">
            <v>2706270</v>
          </cell>
          <cell r="K1154">
            <v>0</v>
          </cell>
          <cell r="L1154">
            <v>2706270</v>
          </cell>
          <cell r="M1154">
            <v>1353135</v>
          </cell>
          <cell r="N1154">
            <v>1353135</v>
          </cell>
        </row>
        <row r="1155">
          <cell r="A1155">
            <v>649</v>
          </cell>
          <cell r="B1155">
            <v>1562</v>
          </cell>
          <cell r="C1155">
            <v>43173</v>
          </cell>
          <cell r="D1155" t="str">
            <v>LEONOR XIMENA DURA ISMARE</v>
          </cell>
          <cell r="E1155">
            <v>31</v>
          </cell>
          <cell r="F1155" t="str">
            <v>RESOLUCION</v>
          </cell>
          <cell r="G1155">
            <v>1518</v>
          </cell>
          <cell r="H1155">
            <v>43173</v>
          </cell>
          <cell r="I1155" t="str">
            <v>AYUDA TEMPORAL A LAS FAMILIAS DE VARIAS LOCALIDADES, PARA LA RELOCALIZACIÓN DE HOGARES LOCALIZADOS EN ZONAS DE ALTO RIESGO NO MITIGABLE ID:2014-W166-076, LOCALIDAD:19 CIUDAD BOLÍVAR, UPZ:68 EL TESORO, SECTOR:WOUNAAN</v>
          </cell>
          <cell r="J1155">
            <v>5946005</v>
          </cell>
          <cell r="K1155">
            <v>0</v>
          </cell>
          <cell r="L1155">
            <v>5946005</v>
          </cell>
          <cell r="M1155">
            <v>457385</v>
          </cell>
          <cell r="N1155">
            <v>5488620</v>
          </cell>
        </row>
        <row r="1156">
          <cell r="A1156">
            <v>395</v>
          </cell>
          <cell r="B1156">
            <v>1563</v>
          </cell>
          <cell r="C1156">
            <v>43173</v>
          </cell>
          <cell r="D1156" t="str">
            <v>ANA ELVIA RODRIGUEZ MENDEZ</v>
          </cell>
          <cell r="E1156">
            <v>31</v>
          </cell>
          <cell r="F1156" t="str">
            <v>RESOLUCION</v>
          </cell>
          <cell r="G1156">
            <v>1515</v>
          </cell>
          <cell r="H1156">
            <v>43173</v>
          </cell>
          <cell r="I1156" t="str">
            <v>AYUDA TEMPORAL A LAS FAMILIAS DE VARIAS LOCALIDADES, PARA RELOCALIZACIÓN DE HOGARES LOCALIZADOS EN ZONAS DE ALTO RIESGO NO MITIGABLE ID:2014-OTR-00901, LOCALIDAD:03 SANTA FE, UPZ:96 LOURDES, SECTOR:CASA 3</v>
          </cell>
          <cell r="J1156">
            <v>2550450</v>
          </cell>
          <cell r="K1156">
            <v>0</v>
          </cell>
          <cell r="L1156">
            <v>2550450</v>
          </cell>
          <cell r="M1156">
            <v>1275225</v>
          </cell>
          <cell r="N1156">
            <v>1275225</v>
          </cell>
        </row>
        <row r="1157">
          <cell r="A1157">
            <v>649</v>
          </cell>
          <cell r="B1157">
            <v>1564</v>
          </cell>
          <cell r="C1157">
            <v>43173</v>
          </cell>
          <cell r="D1157" t="str">
            <v>BERNALICIA  ISMARE OPUA</v>
          </cell>
          <cell r="E1157">
            <v>31</v>
          </cell>
          <cell r="F1157" t="str">
            <v>RESOLUCION</v>
          </cell>
          <cell r="G1157">
            <v>1519</v>
          </cell>
          <cell r="H1157">
            <v>43173</v>
          </cell>
          <cell r="I1157" t="str">
            <v>AYUDA TEMPORAL A LAS FAMILIAS DE VARIAS LOCALIDADES, PARA LA RELOCALIZACIÓN DE HOGARES LOCALIZADOS EN ZONAS DE ALTO RIESGO NO MITIGABLE ID:2014-W166-037, LOCALIDAD:19 CIUDAD BOLÍVAR, UPZ:67 LUCERO, SECTOR:WOUNAAN</v>
          </cell>
          <cell r="J1157">
            <v>5946005</v>
          </cell>
          <cell r="K1157">
            <v>0</v>
          </cell>
          <cell r="L1157">
            <v>5946005</v>
          </cell>
          <cell r="M1157">
            <v>457385</v>
          </cell>
          <cell r="N1157">
            <v>5488620</v>
          </cell>
        </row>
        <row r="1158">
          <cell r="A1158">
            <v>395</v>
          </cell>
          <cell r="B1158">
            <v>1565</v>
          </cell>
          <cell r="C1158">
            <v>43173</v>
          </cell>
          <cell r="D1158" t="str">
            <v>YANID ASTRID DIAZ MONTAÑEZ</v>
          </cell>
          <cell r="E1158">
            <v>31</v>
          </cell>
          <cell r="F1158" t="str">
            <v>RESOLUCION</v>
          </cell>
          <cell r="G1158">
            <v>1516</v>
          </cell>
          <cell r="H1158">
            <v>43173</v>
          </cell>
          <cell r="I1158" t="str">
            <v>AYUDA TEMPORAL A LAS FAMILIAS DE VARIAS LOCALIDADES, PARA RELOCALIZACIÓN DE HOGARES LOCALIZADOS EN ZONAS DE ALTO RIESGO NO MITIGABLE ID:2011-4-12709, LOCALIDAD:04 SAN CRISTÓBAL, UPZ:32 SAN BLAS</v>
          </cell>
          <cell r="J1158">
            <v>2213148</v>
          </cell>
          <cell r="K1158">
            <v>0</v>
          </cell>
          <cell r="L1158">
            <v>2213148</v>
          </cell>
          <cell r="M1158">
            <v>1106574</v>
          </cell>
          <cell r="N1158">
            <v>1106574</v>
          </cell>
        </row>
        <row r="1159">
          <cell r="A1159">
            <v>649</v>
          </cell>
          <cell r="B1159">
            <v>1566</v>
          </cell>
          <cell r="C1159">
            <v>43173</v>
          </cell>
          <cell r="D1159" t="str">
            <v>LILIANA  GRUESO DURA</v>
          </cell>
          <cell r="E1159">
            <v>31</v>
          </cell>
          <cell r="F1159" t="str">
            <v>RESOLUCION</v>
          </cell>
          <cell r="G1159">
            <v>1520</v>
          </cell>
          <cell r="H1159">
            <v>43173</v>
          </cell>
          <cell r="I1159" t="str">
            <v>AYUDA TEMPORAL A LAS FAMILIAS DE VARIAS LOCALIDADES, PARA LA RELOCALIZACIÓN DE HOGARES LOCALIZADOS EN ZONAS DE ALTO RIESGO NO MITIGABLE ID:2015-W166-209, LOCALIDAD:04 SAN CRISTÓBAL, UPZ:33 SOSIEGO, SECTOR:EPERARA</v>
          </cell>
          <cell r="J1159">
            <v>5946005</v>
          </cell>
          <cell r="K1159">
            <v>0</v>
          </cell>
          <cell r="L1159">
            <v>5946005</v>
          </cell>
          <cell r="M1159">
            <v>457385</v>
          </cell>
          <cell r="N1159">
            <v>5488620</v>
          </cell>
        </row>
        <row r="1160">
          <cell r="A1160">
            <v>649</v>
          </cell>
          <cell r="B1160">
            <v>1567</v>
          </cell>
          <cell r="C1160">
            <v>43173</v>
          </cell>
          <cell r="D1160" t="str">
            <v>WILMER  QUIRO MEMBACHE</v>
          </cell>
          <cell r="E1160">
            <v>31</v>
          </cell>
          <cell r="F1160" t="str">
            <v>RESOLUCION</v>
          </cell>
          <cell r="G1160">
            <v>1521</v>
          </cell>
          <cell r="H1160">
            <v>43173</v>
          </cell>
          <cell r="I1160" t="str">
            <v>AYUDA TEMPORAL A LAS FAMILIAS DE VARIAS LOCALIDADES, PARA LA RELOCALIZACIÓN DE HOGARES LOCALIZADOS EN ZONAS DE ALTO RIESGO NO MITIGABLE ID:2014-W166-096, LOCALIDAD:19 CIUDAD BOLÍVAR, UPZ:68 EL TESORO, SECTOR:WOUNAAN</v>
          </cell>
          <cell r="J1160">
            <v>5754190</v>
          </cell>
          <cell r="K1160">
            <v>0</v>
          </cell>
          <cell r="L1160">
            <v>5754190</v>
          </cell>
          <cell r="M1160">
            <v>442630</v>
          </cell>
          <cell r="N1160">
            <v>5311560</v>
          </cell>
        </row>
        <row r="1161">
          <cell r="A1161">
            <v>649</v>
          </cell>
          <cell r="B1161">
            <v>1568</v>
          </cell>
          <cell r="C1161">
            <v>43173</v>
          </cell>
          <cell r="D1161" t="str">
            <v>MARIA CELINA DURA PERTIAGA</v>
          </cell>
          <cell r="E1161">
            <v>31</v>
          </cell>
          <cell r="F1161" t="str">
            <v>RESOLUCION</v>
          </cell>
          <cell r="G1161">
            <v>1522</v>
          </cell>
          <cell r="H1161">
            <v>43173</v>
          </cell>
          <cell r="I1161" t="str">
            <v>AYUDA TEMPORAL A LAS FAMILIAS DE VARIAS LOCALIDADES, PARA LA RELOCALIZACIÓN DE HOGARES LOCALIZADOS EN ZONAS DE ALTO RIESGO NO MITIGABLE ID:2015-W166-216, LOCALIDAD:04 SAN CRISTÓBAL, UPZ:33 SOSIEGO, SECTOR:EPERARA</v>
          </cell>
          <cell r="J1161">
            <v>7672262</v>
          </cell>
          <cell r="K1161">
            <v>0</v>
          </cell>
          <cell r="L1161">
            <v>7672262</v>
          </cell>
          <cell r="M1161">
            <v>590174</v>
          </cell>
          <cell r="N1161">
            <v>7082088</v>
          </cell>
        </row>
        <row r="1162">
          <cell r="A1162">
            <v>649</v>
          </cell>
          <cell r="B1162">
            <v>1570</v>
          </cell>
          <cell r="C1162">
            <v>43173</v>
          </cell>
          <cell r="D1162" t="str">
            <v>ISABEL  MEMBACHE PIZARIO</v>
          </cell>
          <cell r="E1162">
            <v>31</v>
          </cell>
          <cell r="F1162" t="str">
            <v>RESOLUCION</v>
          </cell>
          <cell r="G1162">
            <v>1539</v>
          </cell>
          <cell r="H1162">
            <v>43173</v>
          </cell>
          <cell r="I1162" t="str">
            <v>AYUDA TEMPORAL A LAS FAMILIAS DE VARIAS LOCALIDADES, PARA LA RELOCALIZACIÓN DE HOGARES LOCALIZADOS EN ZONAS DE ALTO RIESGO NO MITIGABLE ID:2015-W166-420, LOCALIDAD:19 CIUDAD BOLÍVAR, UPZ:67 LUCERO, SECTOR:WOUNAAN</v>
          </cell>
          <cell r="J1162">
            <v>5335434</v>
          </cell>
          <cell r="K1162">
            <v>0</v>
          </cell>
          <cell r="L1162">
            <v>5335434</v>
          </cell>
          <cell r="M1162">
            <v>592826</v>
          </cell>
          <cell r="N1162">
            <v>4742608</v>
          </cell>
        </row>
        <row r="1163">
          <cell r="A1163">
            <v>649</v>
          </cell>
          <cell r="B1163">
            <v>1571</v>
          </cell>
          <cell r="C1163">
            <v>43173</v>
          </cell>
          <cell r="D1163" t="str">
            <v>GLADYS  CHIRIMIA CHICHILIANO</v>
          </cell>
          <cell r="E1163">
            <v>31</v>
          </cell>
          <cell r="F1163" t="str">
            <v>RESOLUCION</v>
          </cell>
          <cell r="G1163">
            <v>1538</v>
          </cell>
          <cell r="H1163">
            <v>43173</v>
          </cell>
          <cell r="I1163" t="str">
            <v>AYUDA TEMPORAL A LAS FAMILIAS DE VARIAS LOCALIDADES, PARA LA RELOCALIZACIÓN DE HOGARES LOCALIZADOS EN ZONAS DE ALTO RIESGO NO MITIGABLE ID:2014-W166-084, LOCALIDAD:19 CIUDAD BOLÍVAR, UPZ:68 EL TESORO, SECTOR:WOUNAAN</v>
          </cell>
          <cell r="J1163">
            <v>4989600</v>
          </cell>
          <cell r="K1163">
            <v>0</v>
          </cell>
          <cell r="L1163">
            <v>4989600</v>
          </cell>
          <cell r="M1163">
            <v>554400</v>
          </cell>
          <cell r="N1163">
            <v>4435200</v>
          </cell>
        </row>
        <row r="1164">
          <cell r="A1164">
            <v>685</v>
          </cell>
          <cell r="B1164">
            <v>1572</v>
          </cell>
          <cell r="C1164">
            <v>43173</v>
          </cell>
          <cell r="D1164" t="str">
            <v>CINDY MARYORY RAMIREZ DURAN</v>
          </cell>
          <cell r="E1164">
            <v>145</v>
          </cell>
          <cell r="F1164" t="str">
            <v>CONTRATO DE PRESTACION DE SERVICIOS PROFESIONALES</v>
          </cell>
          <cell r="G1164">
            <v>541</v>
          </cell>
          <cell r="H1164">
            <v>43173</v>
          </cell>
          <cell r="I1164" t="str">
            <v>Pròrroga y Adiciòn al Contrato No 541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64">
            <v>9900000</v>
          </cell>
          <cell r="K1164">
            <v>0</v>
          </cell>
          <cell r="L1164">
            <v>9900000</v>
          </cell>
          <cell r="M1164">
            <v>1760000</v>
          </cell>
          <cell r="N1164">
            <v>8140000</v>
          </cell>
        </row>
        <row r="1165">
          <cell r="A1165">
            <v>692</v>
          </cell>
          <cell r="B1165">
            <v>1573</v>
          </cell>
          <cell r="C1165">
            <v>43173</v>
          </cell>
          <cell r="D1165" t="str">
            <v>LINA YESSENIA CAMPOS PASTRAN</v>
          </cell>
          <cell r="E1165">
            <v>145</v>
          </cell>
          <cell r="F1165" t="str">
            <v>CONTRATO DE PRESTACION DE SERVICIOS PROFESIONALES</v>
          </cell>
          <cell r="G1165">
            <v>540</v>
          </cell>
          <cell r="H1165">
            <v>43173</v>
          </cell>
          <cell r="I1165" t="str">
            <v>Pròrroga y Adiciòn al Contrato No 540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65">
            <v>16500000</v>
          </cell>
          <cell r="K1165">
            <v>0</v>
          </cell>
          <cell r="L1165">
            <v>16500000</v>
          </cell>
          <cell r="M1165">
            <v>2933333</v>
          </cell>
          <cell r="N1165">
            <v>13566667</v>
          </cell>
        </row>
        <row r="1166">
          <cell r="A1166">
            <v>707</v>
          </cell>
          <cell r="B1166">
            <v>1574</v>
          </cell>
          <cell r="C1166">
            <v>43173</v>
          </cell>
          <cell r="D1166" t="str">
            <v>MARIA CRISTINA FLORIAN RODRIGUEZ</v>
          </cell>
          <cell r="E1166">
            <v>145</v>
          </cell>
          <cell r="F1166" t="str">
            <v>CONTRATO DE PRESTACION DE SERVICIOS PROFESIONALES</v>
          </cell>
          <cell r="G1166">
            <v>539</v>
          </cell>
          <cell r="H1166">
            <v>43173</v>
          </cell>
          <cell r="I1166" t="str">
            <v>"Pròrroga y Adiciòn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66">
            <v>14670000</v>
          </cell>
          <cell r="K1166">
            <v>0</v>
          </cell>
          <cell r="L1166">
            <v>14670000</v>
          </cell>
          <cell r="M1166">
            <v>2608000</v>
          </cell>
          <cell r="N1166">
            <v>12062000</v>
          </cell>
        </row>
        <row r="1167">
          <cell r="A1167">
            <v>686</v>
          </cell>
          <cell r="B1167">
            <v>1575</v>
          </cell>
          <cell r="C1167">
            <v>43173</v>
          </cell>
          <cell r="D1167" t="str">
            <v>DIANA CAROLINA RATIVA SANTAFE</v>
          </cell>
          <cell r="E1167">
            <v>145</v>
          </cell>
          <cell r="F1167" t="str">
            <v>CONTRATO DE PRESTACION DE SERVICIOS PROFESIONALES</v>
          </cell>
          <cell r="G1167">
            <v>534</v>
          </cell>
          <cell r="H1167">
            <v>43173</v>
          </cell>
          <cell r="I1167" t="str">
            <v>Pròrroga y Adiciòn al Contrato No 534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67">
            <v>15300000</v>
          </cell>
          <cell r="K1167">
            <v>0</v>
          </cell>
          <cell r="L1167">
            <v>15300000</v>
          </cell>
          <cell r="M1167">
            <v>2720000</v>
          </cell>
          <cell r="N1167">
            <v>12580000</v>
          </cell>
        </row>
        <row r="1168">
          <cell r="A1168">
            <v>694</v>
          </cell>
          <cell r="B1168">
            <v>1576</v>
          </cell>
          <cell r="C1168">
            <v>43173</v>
          </cell>
          <cell r="D1168" t="str">
            <v>MARIA DEL PILAR FERNANDEZ GARCIA</v>
          </cell>
          <cell r="E1168">
            <v>145</v>
          </cell>
          <cell r="F1168" t="str">
            <v>CONTRATO DE PRESTACION DE SERVICIOS PROFESIONALES</v>
          </cell>
          <cell r="G1168">
            <v>542</v>
          </cell>
          <cell r="H1168">
            <v>43173</v>
          </cell>
          <cell r="I1168" t="str">
            <v>PRÒRROGA Y ADICIÒN AL CONTRATO NO 542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68">
            <v>15300000</v>
          </cell>
          <cell r="K1168">
            <v>0</v>
          </cell>
          <cell r="L1168">
            <v>15300000</v>
          </cell>
          <cell r="M1168">
            <v>2720000</v>
          </cell>
          <cell r="N1168">
            <v>12580000</v>
          </cell>
        </row>
        <row r="1169">
          <cell r="A1169">
            <v>657</v>
          </cell>
          <cell r="B1169">
            <v>1577</v>
          </cell>
          <cell r="C1169">
            <v>43174</v>
          </cell>
          <cell r="D1169" t="str">
            <v>OMAR MANUEL AGAMEZ RIVAS</v>
          </cell>
          <cell r="E1169">
            <v>31</v>
          </cell>
          <cell r="F1169" t="str">
            <v>RESOLUCION</v>
          </cell>
          <cell r="G1169">
            <v>1511</v>
          </cell>
          <cell r="H1169">
            <v>43174</v>
          </cell>
          <cell r="I1169" t="str">
            <v>Asignacion del instrumento financiero a las familias ocupantes del predio que hayan superado la fase de verificacion dentro  del marco del Decreto 457 de 2017. LOCALIDAD: KENNEDY; BARRIO: VEREDITAS; ID: 2017-8-383732</v>
          </cell>
          <cell r="J1169">
            <v>54686940</v>
          </cell>
          <cell r="K1169">
            <v>0</v>
          </cell>
          <cell r="L1169">
            <v>54686940</v>
          </cell>
          <cell r="M1169">
            <v>0</v>
          </cell>
          <cell r="N1169">
            <v>54686940</v>
          </cell>
        </row>
        <row r="1170">
          <cell r="A1170">
            <v>651</v>
          </cell>
          <cell r="B1170">
            <v>1578</v>
          </cell>
          <cell r="C1170">
            <v>43174</v>
          </cell>
          <cell r="D1170" t="str">
            <v>MARIA PATRICIA FLOREZ HERNANDEZ</v>
          </cell>
          <cell r="E1170">
            <v>31</v>
          </cell>
          <cell r="F1170" t="str">
            <v>RESOLUCION</v>
          </cell>
          <cell r="G1170">
            <v>1512</v>
          </cell>
          <cell r="H1170">
            <v>43174</v>
          </cell>
          <cell r="I1170" t="str">
            <v>Asignacion del instrumento financiero a las familias ocupantes del predio que hayan superado la fase de verificacion dentro  del marco del Decreto 457 de 2017. LOCALIDAD: KENNEDY; BARRIO: VEREDITAS; ID: 2017-8-383765</v>
          </cell>
          <cell r="J1170">
            <v>54686940</v>
          </cell>
          <cell r="K1170">
            <v>0</v>
          </cell>
          <cell r="L1170">
            <v>54686940</v>
          </cell>
          <cell r="M1170">
            <v>0</v>
          </cell>
          <cell r="N1170">
            <v>54686940</v>
          </cell>
        </row>
        <row r="1171">
          <cell r="A1171">
            <v>652</v>
          </cell>
          <cell r="B1171">
            <v>1579</v>
          </cell>
          <cell r="C1171">
            <v>43174</v>
          </cell>
          <cell r="D1171" t="str">
            <v>FREDY ALEXANDER NAVARRO SARMIENTO</v>
          </cell>
          <cell r="E1171">
            <v>31</v>
          </cell>
          <cell r="F1171" t="str">
            <v>RESOLUCION</v>
          </cell>
          <cell r="G1171">
            <v>1513</v>
          </cell>
          <cell r="H1171">
            <v>43174</v>
          </cell>
          <cell r="I1171" t="str">
            <v>Asignacion del instrumento financiero a las familias ocupantes del predio que hayan superado la fase de verificacion dentro  del marco del Decreto 457 de 2017. LOCALIDAD: KENNEDY; BARRIO: VEREDITAS; ID: 2018-8-15224</v>
          </cell>
          <cell r="J1171">
            <v>54686940</v>
          </cell>
          <cell r="K1171">
            <v>0</v>
          </cell>
          <cell r="L1171">
            <v>54686940</v>
          </cell>
          <cell r="M1171">
            <v>54686940</v>
          </cell>
          <cell r="N1171">
            <v>0</v>
          </cell>
        </row>
        <row r="1172">
          <cell r="A1172">
            <v>644</v>
          </cell>
          <cell r="B1172">
            <v>1581</v>
          </cell>
          <cell r="C1172">
            <v>43174</v>
          </cell>
          <cell r="D1172" t="str">
            <v>GRACIELA  LEGUIZAMON CALDERON</v>
          </cell>
          <cell r="E1172">
            <v>31</v>
          </cell>
          <cell r="F1172" t="str">
            <v>RESOLUCION</v>
          </cell>
          <cell r="G1172">
            <v>1540</v>
          </cell>
          <cell r="H1172">
            <v>43174</v>
          </cell>
          <cell r="I1172" t="str">
            <v>VUR DE LA ACTUAL VIGENCIA. DTO 255 DE 2013. LOCALIDAD:CHAPINERO; BARRIO:SAN LUIS ALTOS DEL CABO; ID:2009-2-11209(DE ACUERDO CON EL ARTICULO SEGUNDO DE LA PARTE RESOLUTIVA DE LA RESOLUCION 1540 DEL 14 DE MARZO DE 2018, SE ORDENA EL GIRO DEL VUR ASIGNADO A LOS SEÑORES GRACIELA LEGUIZAMON CALDERON C.C. N°41.466.825 Y JUAN DE JESUS LEGUIZAMON CALDERON C.C N°79.153.781 REPRESENTADO LEGALMENTE POR LA SEÑORA LUZ YANITZ LEGUIZAMON C C N°52.259.803)</v>
          </cell>
          <cell r="J1172">
            <v>39062100</v>
          </cell>
          <cell r="K1172">
            <v>0</v>
          </cell>
          <cell r="L1172">
            <v>39062100</v>
          </cell>
          <cell r="M1172">
            <v>0</v>
          </cell>
          <cell r="N1172">
            <v>39062100</v>
          </cell>
        </row>
        <row r="1173">
          <cell r="A1173">
            <v>641</v>
          </cell>
          <cell r="B1173">
            <v>1582</v>
          </cell>
          <cell r="C1173">
            <v>43174</v>
          </cell>
          <cell r="D1173" t="str">
            <v>NIKOL KAROLAY RUIZ SANCHEZ</v>
          </cell>
          <cell r="E1173">
            <v>31</v>
          </cell>
          <cell r="F1173" t="str">
            <v>RESOLUCION</v>
          </cell>
          <cell r="G1173">
            <v>1509</v>
          </cell>
          <cell r="H1173">
            <v>43174</v>
          </cell>
          <cell r="I1173" t="str">
            <v>Asignacion del instrumento financiero a las familias ocupantes del predio que hayan superado la fase de verificacion dentro  del marco del Decreto 457 de 2017. LOCALIDAD: KENNEDY; BARRIO: VEREDITAS; ID: 2018-8-383924</v>
          </cell>
          <cell r="J1173">
            <v>54686940</v>
          </cell>
          <cell r="K1173">
            <v>0</v>
          </cell>
          <cell r="L1173">
            <v>54686940</v>
          </cell>
          <cell r="M1173">
            <v>0</v>
          </cell>
          <cell r="N1173">
            <v>54686940</v>
          </cell>
        </row>
        <row r="1174">
          <cell r="A1174">
            <v>638</v>
          </cell>
          <cell r="B1174">
            <v>1583</v>
          </cell>
          <cell r="C1174">
            <v>43174</v>
          </cell>
          <cell r="D1174" t="str">
            <v>SARA  VASQUEZ CARDONA</v>
          </cell>
          <cell r="E1174">
            <v>31</v>
          </cell>
          <cell r="F1174" t="str">
            <v>RESOLUCION</v>
          </cell>
          <cell r="G1174">
            <v>1510</v>
          </cell>
          <cell r="H1174">
            <v>43174</v>
          </cell>
          <cell r="I1174" t="str">
            <v>Asignacion del instrumento financiero a las familias ocupantes del predio que hayan superado la fase de verificacion dentro  del marco del Decreto 457 de 2017. LOCALIDAD: KENNEDY; BARRIO: VEREDITAS; ID: 2018-8-383926</v>
          </cell>
          <cell r="J1174">
            <v>54686940</v>
          </cell>
          <cell r="K1174">
            <v>0</v>
          </cell>
          <cell r="L1174">
            <v>54686940</v>
          </cell>
          <cell r="M1174">
            <v>54686940</v>
          </cell>
          <cell r="N1174">
            <v>0</v>
          </cell>
        </row>
        <row r="1175">
          <cell r="A1175">
            <v>649</v>
          </cell>
          <cell r="B1175">
            <v>1584</v>
          </cell>
          <cell r="C1175">
            <v>43174</v>
          </cell>
          <cell r="D1175" t="str">
            <v>DEYFA PATRICIA CUERO CHIRIPUA</v>
          </cell>
          <cell r="E1175">
            <v>31</v>
          </cell>
          <cell r="F1175" t="str">
            <v>RESOLUCION</v>
          </cell>
          <cell r="G1175">
            <v>1537</v>
          </cell>
          <cell r="H1175">
            <v>43174</v>
          </cell>
          <cell r="I1175" t="str">
            <v>AYUDA TEMPORAL A LAS FAMILIAS DE VARIAS LOCALIDADES, PARA LA RELOCALIZACIÓN DE HOGARES LOCALIZADOS EN ZONAS DE ALTO RIESGO NO MITIGABLE ID:2015-W166-433, LOCALIDAD:19 CIUDAD BOLÍVAR, UPZ:67 LUCERO, SECTOR:WOUNAAN</v>
          </cell>
          <cell r="J1175">
            <v>4117212</v>
          </cell>
          <cell r="K1175">
            <v>0</v>
          </cell>
          <cell r="L1175">
            <v>4117212</v>
          </cell>
          <cell r="M1175">
            <v>1829872</v>
          </cell>
          <cell r="N1175">
            <v>2287340</v>
          </cell>
        </row>
        <row r="1176">
          <cell r="A1176">
            <v>691</v>
          </cell>
          <cell r="B1176">
            <v>1591</v>
          </cell>
          <cell r="C1176">
            <v>43175</v>
          </cell>
          <cell r="D1176" t="str">
            <v>NATALIA ANDREA MELENDEZ MONTENEGRO</v>
          </cell>
          <cell r="E1176">
            <v>145</v>
          </cell>
          <cell r="F1176" t="str">
            <v>CONTRATO DE PRESTACION DE SERVICIOS PROFESIONALES</v>
          </cell>
          <cell r="G1176">
            <v>549</v>
          </cell>
          <cell r="H1176">
            <v>43175</v>
          </cell>
          <cell r="I1176" t="str">
            <v>Pròrroga y Adiciòn al Contrato No 549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76">
            <v>9900000</v>
          </cell>
          <cell r="K1176">
            <v>0</v>
          </cell>
          <cell r="L1176">
            <v>9900000</v>
          </cell>
          <cell r="M1176">
            <v>1430000</v>
          </cell>
          <cell r="N1176">
            <v>8470000</v>
          </cell>
        </row>
        <row r="1177">
          <cell r="A1177">
            <v>710</v>
          </cell>
          <cell r="B1177">
            <v>1592</v>
          </cell>
          <cell r="C1177">
            <v>43175</v>
          </cell>
          <cell r="D1177" t="str">
            <v>LILIANA  MACHADO BOTERO</v>
          </cell>
          <cell r="E1177">
            <v>145</v>
          </cell>
          <cell r="F1177" t="str">
            <v>CONTRATO DE PRESTACION DE SERVICIOS PROFESIONALES</v>
          </cell>
          <cell r="G1177">
            <v>545</v>
          </cell>
          <cell r="H1177">
            <v>43175</v>
          </cell>
          <cell r="I1177" t="str">
            <v>"Pròrroga y Adiciòn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77">
            <v>15300000</v>
          </cell>
          <cell r="K1177">
            <v>0</v>
          </cell>
          <cell r="L1177">
            <v>15300000</v>
          </cell>
          <cell r="M1177">
            <v>2210000</v>
          </cell>
          <cell r="N1177">
            <v>13090000</v>
          </cell>
        </row>
        <row r="1178">
          <cell r="A1178">
            <v>689</v>
          </cell>
          <cell r="B1178">
            <v>1593</v>
          </cell>
          <cell r="C1178">
            <v>43175</v>
          </cell>
          <cell r="D1178" t="str">
            <v>SEBASTIAN  HERRERA RAMOS</v>
          </cell>
          <cell r="E1178">
            <v>145</v>
          </cell>
          <cell r="F1178" t="str">
            <v>CONTRATO DE PRESTACION DE SERVICIOS PROFESIONALES</v>
          </cell>
          <cell r="G1178">
            <v>546</v>
          </cell>
          <cell r="H1178">
            <v>43175</v>
          </cell>
          <cell r="I1178" t="str">
            <v>"Pròrroga y Adiciòn al Contrato No 546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78">
            <v>10350000</v>
          </cell>
          <cell r="K1178">
            <v>0</v>
          </cell>
          <cell r="L1178">
            <v>10350000</v>
          </cell>
          <cell r="M1178">
            <v>1495000</v>
          </cell>
          <cell r="N1178">
            <v>8855000</v>
          </cell>
        </row>
        <row r="1179">
          <cell r="A1179">
            <v>690</v>
          </cell>
          <cell r="B1179">
            <v>1594</v>
          </cell>
          <cell r="C1179">
            <v>43175</v>
          </cell>
          <cell r="D1179" t="str">
            <v>MARISOL  DELGADO FANDIÑO</v>
          </cell>
          <cell r="E1179">
            <v>145</v>
          </cell>
          <cell r="F1179" t="str">
            <v>CONTRATO DE PRESTACION DE SERVICIOS PROFESIONALES</v>
          </cell>
          <cell r="G1179">
            <v>543</v>
          </cell>
          <cell r="H1179">
            <v>43175</v>
          </cell>
          <cell r="I1179" t="str">
            <v>Pròrroga y Adiciòn al Contrato No 543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79">
            <v>9900000</v>
          </cell>
          <cell r="K1179">
            <v>0</v>
          </cell>
          <cell r="L1179">
            <v>9900000</v>
          </cell>
          <cell r="M1179">
            <v>1430000</v>
          </cell>
          <cell r="N1179">
            <v>8470000</v>
          </cell>
        </row>
        <row r="1180">
          <cell r="A1180">
            <v>709</v>
          </cell>
          <cell r="B1180">
            <v>1595</v>
          </cell>
          <cell r="C1180">
            <v>43175</v>
          </cell>
          <cell r="D1180" t="str">
            <v>CINDY LORENA MONROY OSSA</v>
          </cell>
          <cell r="E1180">
            <v>145</v>
          </cell>
          <cell r="F1180" t="str">
            <v>CONTRATO DE PRESTACION DE SERVICIOS PROFESIONALES</v>
          </cell>
          <cell r="G1180">
            <v>551</v>
          </cell>
          <cell r="H1180">
            <v>43175</v>
          </cell>
          <cell r="I1180" t="str">
            <v>PRÒRROGA Y ADICIÒN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80">
            <v>12000000</v>
          </cell>
          <cell r="K1180">
            <v>0</v>
          </cell>
          <cell r="L1180">
            <v>12000000</v>
          </cell>
          <cell r="M1180">
            <v>1733333</v>
          </cell>
          <cell r="N1180">
            <v>10266667</v>
          </cell>
        </row>
        <row r="1181">
          <cell r="A1181">
            <v>688</v>
          </cell>
          <cell r="B1181">
            <v>1596</v>
          </cell>
          <cell r="C1181">
            <v>43175</v>
          </cell>
          <cell r="D1181" t="str">
            <v>OSCAR  ROBAYO ULLOA</v>
          </cell>
          <cell r="E1181">
            <v>145</v>
          </cell>
          <cell r="F1181" t="str">
            <v>CONTRATO DE PRESTACION DE SERVICIOS PROFESIONALES</v>
          </cell>
          <cell r="G1181">
            <v>544</v>
          </cell>
          <cell r="H1181">
            <v>43175</v>
          </cell>
          <cell r="I1181" t="str">
            <v>"Pròrroga y Adiciòn al Contrato No 544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81">
            <v>15300000</v>
          </cell>
          <cell r="K1181">
            <v>0</v>
          </cell>
          <cell r="L1181">
            <v>15300000</v>
          </cell>
          <cell r="M1181">
            <v>2210000</v>
          </cell>
          <cell r="N1181">
            <v>13090000</v>
          </cell>
        </row>
        <row r="1182">
          <cell r="A1182">
            <v>695</v>
          </cell>
          <cell r="B1182">
            <v>1597</v>
          </cell>
          <cell r="C1182">
            <v>43175</v>
          </cell>
          <cell r="D1182" t="str">
            <v>LUZ CECILIA MARTINEZ MOSQUERA</v>
          </cell>
          <cell r="E1182">
            <v>145</v>
          </cell>
          <cell r="F1182" t="str">
            <v>CONTRATO DE PRESTACION DE SERVICIOS PROFESIONALES</v>
          </cell>
          <cell r="G1182">
            <v>552</v>
          </cell>
          <cell r="H1182">
            <v>43175</v>
          </cell>
          <cell r="I1182" t="str">
            <v>PRÒRROGA Y ADICIÒN AL CONTRATO NO 552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82">
            <v>12000000</v>
          </cell>
          <cell r="K1182">
            <v>0</v>
          </cell>
          <cell r="L1182">
            <v>12000000</v>
          </cell>
          <cell r="M1182">
            <v>1733333</v>
          </cell>
          <cell r="N1182">
            <v>10266667</v>
          </cell>
        </row>
        <row r="1183">
          <cell r="A1183">
            <v>712</v>
          </cell>
          <cell r="B1183">
            <v>1598</v>
          </cell>
          <cell r="C1183">
            <v>43175</v>
          </cell>
          <cell r="D1183" t="str">
            <v>MARIA CAROLINA ALVAREZ TECANO</v>
          </cell>
          <cell r="E1183">
            <v>145</v>
          </cell>
          <cell r="F1183" t="str">
            <v>CONTRATO DE PRESTACION DE SERVICIOS PROFESIONALES</v>
          </cell>
          <cell r="G1183">
            <v>558</v>
          </cell>
          <cell r="H1183">
            <v>43175</v>
          </cell>
          <cell r="I1183" t="str">
            <v>Pròrroga y Adiciòn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83">
            <v>10350000</v>
          </cell>
          <cell r="K1183">
            <v>0</v>
          </cell>
          <cell r="L1183">
            <v>10350000</v>
          </cell>
          <cell r="M1183">
            <v>1150000</v>
          </cell>
          <cell r="N1183">
            <v>9200000</v>
          </cell>
        </row>
        <row r="1184">
          <cell r="A1184">
            <v>696</v>
          </cell>
          <cell r="B1184">
            <v>1599</v>
          </cell>
          <cell r="C1184">
            <v>43175</v>
          </cell>
          <cell r="D1184" t="str">
            <v>MARISOL  AMAYA OVIEDO</v>
          </cell>
          <cell r="E1184">
            <v>145</v>
          </cell>
          <cell r="F1184" t="str">
            <v>CONTRATO DE PRESTACION DE SERVICIOS PROFESIONALES</v>
          </cell>
          <cell r="G1184">
            <v>554</v>
          </cell>
          <cell r="H1184">
            <v>43175</v>
          </cell>
          <cell r="I1184" t="str">
            <v>PRÒRROGA Y ADICIÒN AL CONTRATO NO 554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84">
            <v>15300000</v>
          </cell>
          <cell r="K1184">
            <v>0</v>
          </cell>
          <cell r="L1184">
            <v>15300000</v>
          </cell>
          <cell r="M1184">
            <v>1870000</v>
          </cell>
          <cell r="N1184">
            <v>13430000</v>
          </cell>
        </row>
        <row r="1185">
          <cell r="A1185">
            <v>483</v>
          </cell>
          <cell r="B1185">
            <v>1605</v>
          </cell>
          <cell r="C1185">
            <v>43180</v>
          </cell>
          <cell r="D1185" t="str">
            <v>CAJA DE VIVIENDA POPULAR</v>
          </cell>
          <cell r="E1185">
            <v>1</v>
          </cell>
          <cell r="F1185" t="str">
            <v>RELACION DE AUTORIZACION</v>
          </cell>
          <cell r="G1185">
            <v>25</v>
          </cell>
          <cell r="H1185">
            <v>43180</v>
          </cell>
          <cell r="I1185" t="str">
            <v>PAGO DE NÓMINA FUNCIONARIOS DE PLANTA TEMPORAL DE LA DIRECCIÓN DE REASENTAMIENTOS DE LA CAJA DE LA VIVIENDA POPULAR MES DE MARZO 2018"</v>
          </cell>
          <cell r="J1185">
            <v>136345033</v>
          </cell>
          <cell r="K1185">
            <v>0</v>
          </cell>
          <cell r="L1185">
            <v>136345033</v>
          </cell>
          <cell r="M1185">
            <v>136345033</v>
          </cell>
          <cell r="N1185">
            <v>0</v>
          </cell>
        </row>
        <row r="1186">
          <cell r="A1186">
            <v>658</v>
          </cell>
          <cell r="B1186">
            <v>1610</v>
          </cell>
          <cell r="C1186">
            <v>43180</v>
          </cell>
          <cell r="D1186" t="str">
            <v>WILMERS DAVID RICO SILVA</v>
          </cell>
          <cell r="E1186">
            <v>31</v>
          </cell>
          <cell r="F1186" t="str">
            <v>RESOLUCION</v>
          </cell>
          <cell r="G1186">
            <v>1608</v>
          </cell>
          <cell r="H1186">
            <v>43180</v>
          </cell>
          <cell r="I1186" t="str">
            <v>Asignacion del instrumento financiero a las familias ocupantes del predio que hayan superado la fase de verificacion dentro  del marco del Decreto 457 de 2017. LOCALIDAD: KENNEDY; BARRIO: VEREDITAS; ID: 2018-8-15299</v>
          </cell>
          <cell r="J1186">
            <v>54686940</v>
          </cell>
          <cell r="K1186">
            <v>0</v>
          </cell>
          <cell r="L1186">
            <v>54686940</v>
          </cell>
          <cell r="M1186">
            <v>0</v>
          </cell>
          <cell r="N1186">
            <v>54686940</v>
          </cell>
        </row>
        <row r="1187">
          <cell r="A1187">
            <v>660</v>
          </cell>
          <cell r="B1187">
            <v>1611</v>
          </cell>
          <cell r="C1187">
            <v>43180</v>
          </cell>
          <cell r="D1187" t="str">
            <v>CARLOS ARTURO RICO GUTIERREZ</v>
          </cell>
          <cell r="E1187">
            <v>31</v>
          </cell>
          <cell r="F1187" t="str">
            <v>RESOLUCION</v>
          </cell>
          <cell r="G1187">
            <v>1609</v>
          </cell>
          <cell r="H1187">
            <v>43180</v>
          </cell>
          <cell r="I1187" t="str">
            <v>Asignacion del instrumento financiero a las familias ocupantes del predio que hayan superado la fase de verificacion dentro  del marco del Decreto 457 de 2017. LOCALIDAD: KENNEDY; BARRIO: VEREDITAS; ID: 2017-8-383787.</v>
          </cell>
          <cell r="J1187">
            <v>54686940</v>
          </cell>
          <cell r="K1187">
            <v>0</v>
          </cell>
          <cell r="L1187">
            <v>54686940</v>
          </cell>
          <cell r="M1187">
            <v>0</v>
          </cell>
          <cell r="N1187">
            <v>54686940</v>
          </cell>
        </row>
        <row r="1188">
          <cell r="A1188">
            <v>676</v>
          </cell>
          <cell r="B1188">
            <v>1612</v>
          </cell>
          <cell r="C1188">
            <v>43181</v>
          </cell>
          <cell r="D1188" t="str">
            <v>GINA ESTEPHANIA LESCANO NIÑO</v>
          </cell>
          <cell r="E1188">
            <v>145</v>
          </cell>
          <cell r="F1188" t="str">
            <v>CONTRATO DE PRESTACION DE SERVICIOS PROFESIONALES</v>
          </cell>
          <cell r="G1188">
            <v>561</v>
          </cell>
          <cell r="H1188">
            <v>43181</v>
          </cell>
          <cell r="I1188" t="str">
            <v>"Pròrroga y Adiciòn al Contrato No 561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188">
            <v>10350000</v>
          </cell>
          <cell r="K1188">
            <v>0</v>
          </cell>
          <cell r="L1188">
            <v>10350000</v>
          </cell>
          <cell r="M1188">
            <v>690000</v>
          </cell>
          <cell r="N1188">
            <v>9660000</v>
          </cell>
        </row>
        <row r="1189">
          <cell r="A1189">
            <v>614</v>
          </cell>
          <cell r="B1189">
            <v>1621</v>
          </cell>
          <cell r="C1189">
            <v>43182</v>
          </cell>
          <cell r="D1189" t="str">
            <v>PABLO ALFONSO LEON ORTIZ</v>
          </cell>
          <cell r="E1189">
            <v>31</v>
          </cell>
          <cell r="F1189" t="str">
            <v>RESOLUCION</v>
          </cell>
          <cell r="G1189">
            <v>1541</v>
          </cell>
          <cell r="H1189">
            <v>43182</v>
          </cell>
          <cell r="I1189" t="str">
            <v>reajuste de Vur por avalúo comercial (Segunda vez).Dto 255 de 2013. LOCALIDAD:CIUDAD BOLIVAR; BARRIO: POTOSI; ID:2013000474</v>
          </cell>
          <cell r="J1189">
            <v>30749982</v>
          </cell>
          <cell r="K1189">
            <v>0</v>
          </cell>
          <cell r="L1189">
            <v>30749982</v>
          </cell>
          <cell r="M1189">
            <v>0</v>
          </cell>
          <cell r="N1189">
            <v>30749982</v>
          </cell>
        </row>
        <row r="1190">
          <cell r="A1190">
            <v>702</v>
          </cell>
          <cell r="B1190">
            <v>1622</v>
          </cell>
          <cell r="C1190">
            <v>43182</v>
          </cell>
          <cell r="D1190" t="str">
            <v>RENZO MANUEL BUITRAGO NAVAS</v>
          </cell>
          <cell r="E1190">
            <v>31</v>
          </cell>
          <cell r="F1190" t="str">
            <v>RESOLUCION</v>
          </cell>
          <cell r="G1190">
            <v>1630</v>
          </cell>
          <cell r="H1190">
            <v>43182</v>
          </cell>
          <cell r="I1190" t="str">
            <v>Asignacion del instrumento financiero a las familias ocupantes del predio que hayan superado la fase de verificacion dentro  del marco del Decreto 457 de 2017. LOCALIDAD: KENNEDY; BARRIO: VEREDITAS; ID: 2018-8-384287</v>
          </cell>
          <cell r="J1190">
            <v>54686940</v>
          </cell>
          <cell r="K1190">
            <v>0</v>
          </cell>
          <cell r="L1190">
            <v>54686940</v>
          </cell>
          <cell r="M1190">
            <v>0</v>
          </cell>
          <cell r="N1190">
            <v>54686940</v>
          </cell>
        </row>
        <row r="1191">
          <cell r="A1191">
            <v>649</v>
          </cell>
          <cell r="B1191">
            <v>1623</v>
          </cell>
          <cell r="C1191">
            <v>43182</v>
          </cell>
          <cell r="D1191" t="str">
            <v>JOSE FLAVIO MEJIA QUIRO</v>
          </cell>
          <cell r="E1191">
            <v>31</v>
          </cell>
          <cell r="F1191" t="str">
            <v>RESOLUCION</v>
          </cell>
          <cell r="G1191">
            <v>1569</v>
          </cell>
          <cell r="H1191">
            <v>43182</v>
          </cell>
          <cell r="I1191" t="str">
            <v>AYUDA TEMPORAL A LAS FAMILIAS DE VARIAS LOCALIDADES, PARA LA RELOCALIZACIÓN DE HOGARES LOCALIZADOS EN ZONAS DE ALTO RIESGO NO MITIGABLE ID:2015-W166-220, LOCALIDAD:04 SAN CRISTÓBAL, UPZ:33 SOSIEGO, SECTOR:EPERARA</v>
          </cell>
          <cell r="J1191">
            <v>5311560</v>
          </cell>
          <cell r="K1191">
            <v>0</v>
          </cell>
          <cell r="L1191">
            <v>5311560</v>
          </cell>
          <cell r="M1191">
            <v>531156</v>
          </cell>
          <cell r="N1191">
            <v>4780404</v>
          </cell>
        </row>
        <row r="1192">
          <cell r="A1192">
            <v>649</v>
          </cell>
          <cell r="B1192">
            <v>1624</v>
          </cell>
          <cell r="C1192">
            <v>43182</v>
          </cell>
          <cell r="D1192" t="str">
            <v>AMILKAR  PIRAZA MEPAQUITO</v>
          </cell>
          <cell r="E1192">
            <v>31</v>
          </cell>
          <cell r="F1192" t="str">
            <v>RESOLUCION</v>
          </cell>
          <cell r="G1192">
            <v>1570</v>
          </cell>
          <cell r="H1192">
            <v>43182</v>
          </cell>
          <cell r="I1192" t="str">
            <v>AYUDA TEMPORAL A LAS FAMILIAS DE VARIAS LOCALIDADES, PARA LA RELOCALIZACIÓN DE HOGARES LOCALIZADOS EN ZONAS DE ALTO RIESGO NO MITIGABLE ID:2014-W166-050, LOCALIDAD:19 CIUDAD BOLÍVAR, UPZ:68 EL TESORO, SECTOR:WOUNAAN</v>
          </cell>
          <cell r="J1192">
            <v>6491914</v>
          </cell>
          <cell r="K1192">
            <v>0</v>
          </cell>
          <cell r="L1192">
            <v>6491914</v>
          </cell>
          <cell r="M1192">
            <v>590174</v>
          </cell>
          <cell r="N1192">
            <v>5901740</v>
          </cell>
        </row>
        <row r="1193">
          <cell r="A1193">
            <v>649</v>
          </cell>
          <cell r="B1193">
            <v>1625</v>
          </cell>
          <cell r="C1193">
            <v>43182</v>
          </cell>
          <cell r="D1193" t="str">
            <v>MARIA LIGIA PIRAZA ISMARE</v>
          </cell>
          <cell r="E1193">
            <v>31</v>
          </cell>
          <cell r="F1193" t="str">
            <v>RESOLUCION</v>
          </cell>
          <cell r="G1193">
            <v>1571</v>
          </cell>
          <cell r="H1193">
            <v>43182</v>
          </cell>
          <cell r="I1193" t="str">
            <v>AYUDA TEMPORAL A LAS FAMILIAS DE VARIAS LOCALIDADES, PARA LA RELOCALIZACIÓN DE HOGARES LOCALIZADOS EN ZONAS DE ALTO RIESGO NO MITIGABLE ID:2014-W166-078, LOCALIDAD:19 CIUDAD BOLÍVAR, UPZ:68 EL TESORO, SECTOR:WOUNAAN</v>
          </cell>
          <cell r="J1193">
            <v>5031235</v>
          </cell>
          <cell r="K1193">
            <v>0</v>
          </cell>
          <cell r="L1193">
            <v>5031235</v>
          </cell>
          <cell r="M1193">
            <v>457385</v>
          </cell>
          <cell r="N1193">
            <v>4573850</v>
          </cell>
        </row>
        <row r="1194">
          <cell r="A1194">
            <v>649</v>
          </cell>
          <cell r="B1194">
            <v>1626</v>
          </cell>
          <cell r="C1194">
            <v>43182</v>
          </cell>
          <cell r="D1194" t="str">
            <v>YESSICA  CARDENAS CUERO</v>
          </cell>
          <cell r="E1194">
            <v>31</v>
          </cell>
          <cell r="F1194" t="str">
            <v>RESOLUCION</v>
          </cell>
          <cell r="G1194">
            <v>1572</v>
          </cell>
          <cell r="H1194">
            <v>43182</v>
          </cell>
          <cell r="I1194" t="str">
            <v>AYUDA TEMPORAL A LAS FAMILIAS DE VARIAS LOCALIDADES, PARA LA RELOCALIZACIÓN DE HOGARES LOCALIZADOS EN ZONAS DE ALTO RIESGO NO MITIGABLE ID:2015-W166-428, LOCALIDAD:19 CIUDAD BOLÍVAR, UPZ:68 EL TESORO, SECTOR:WOUNAAN</v>
          </cell>
          <cell r="J1194">
            <v>6491914</v>
          </cell>
          <cell r="K1194">
            <v>0</v>
          </cell>
          <cell r="L1194">
            <v>6491914</v>
          </cell>
          <cell r="M1194">
            <v>590174</v>
          </cell>
          <cell r="N1194">
            <v>5901740</v>
          </cell>
        </row>
        <row r="1195">
          <cell r="A1195">
            <v>649</v>
          </cell>
          <cell r="B1195">
            <v>1627</v>
          </cell>
          <cell r="C1195">
            <v>43182</v>
          </cell>
          <cell r="D1195" t="str">
            <v>LUCERITA  ISMARE CONQUISTA</v>
          </cell>
          <cell r="E1195">
            <v>31</v>
          </cell>
          <cell r="F1195" t="str">
            <v>RESOLUCION</v>
          </cell>
          <cell r="G1195">
            <v>1573</v>
          </cell>
          <cell r="H1195">
            <v>43182</v>
          </cell>
          <cell r="I1195" t="str">
            <v>AYUDA TEMPORAL A LAS FAMILIAS DE VARIAS LOCALIDADES, PARA LA RELOCALIZACIÓN DE HOGARES LOCALIZADOS EN ZONAS DE ALTO RIESGO NO MITIGABLE ID:2015-W166-413, LOCALIDAD:19 CIUDAD BOLÍVAR, UPZ:67 LUCERO, SECTOR:WOUNAAN</v>
          </cell>
          <cell r="J1195">
            <v>6491914</v>
          </cell>
          <cell r="K1195">
            <v>0</v>
          </cell>
          <cell r="L1195">
            <v>6491914</v>
          </cell>
          <cell r="M1195">
            <v>590174</v>
          </cell>
          <cell r="N1195">
            <v>5901740</v>
          </cell>
        </row>
        <row r="1196">
          <cell r="A1196">
            <v>649</v>
          </cell>
          <cell r="B1196">
            <v>1628</v>
          </cell>
          <cell r="C1196">
            <v>43182</v>
          </cell>
          <cell r="D1196" t="str">
            <v>JOAQUIN  MORENO ORTIZ</v>
          </cell>
          <cell r="E1196">
            <v>31</v>
          </cell>
          <cell r="F1196" t="str">
            <v>RESOLUCION</v>
          </cell>
          <cell r="G1196">
            <v>1612</v>
          </cell>
          <cell r="H1196">
            <v>43182</v>
          </cell>
          <cell r="I1196" t="str">
            <v>AYUDA TEMPORAL A LAS FAMILIAS DE VARIAS LOCALIDADES, PARA LA RELOCALIZACIÓN DE HOGARES LOCALIZADOS EN ZONAS DE ALTO RIESGO NO MITIGABLE ID:2011-19-13542, LOCALIDAD:19 CIUDAD BOLÍVAR, UPZ:68 EL TESORO</v>
          </cell>
          <cell r="J1196">
            <v>6296810</v>
          </cell>
          <cell r="K1196">
            <v>0</v>
          </cell>
          <cell r="L1196">
            <v>6296810</v>
          </cell>
          <cell r="M1196">
            <v>484370</v>
          </cell>
          <cell r="N1196">
            <v>5812440</v>
          </cell>
        </row>
        <row r="1197">
          <cell r="A1197">
            <v>649</v>
          </cell>
          <cell r="B1197">
            <v>1629</v>
          </cell>
          <cell r="C1197">
            <v>43182</v>
          </cell>
          <cell r="D1197" t="str">
            <v>ALBEIRO  VALENCIA CUERO</v>
          </cell>
          <cell r="E1197">
            <v>31</v>
          </cell>
          <cell r="F1197" t="str">
            <v>RESOLUCION</v>
          </cell>
          <cell r="G1197">
            <v>1613</v>
          </cell>
          <cell r="H1197">
            <v>43182</v>
          </cell>
          <cell r="I1197" t="str">
            <v>AYUDA TEMPORAL A LAS FAMILIAS DE VARIAS LOCALIDADES, PARA LA RELOCALIZACIÓN DE HOGARES LOCALIZADOS EN ZONAS DE ALTO RIESGO NO MITIGABLE ID:2015-W166-516, LOCALIDAD:19 CIUDAD BOLÍVAR, UPZ:67 LUCERO, SECTOR:WOUNAANE</v>
          </cell>
          <cell r="J1197">
            <v>4123650</v>
          </cell>
          <cell r="K1197">
            <v>0</v>
          </cell>
          <cell r="L1197">
            <v>4123650</v>
          </cell>
          <cell r="M1197">
            <v>412365</v>
          </cell>
          <cell r="N1197">
            <v>3711285</v>
          </cell>
        </row>
        <row r="1198">
          <cell r="A1198">
            <v>649</v>
          </cell>
          <cell r="B1198">
            <v>1630</v>
          </cell>
          <cell r="C1198">
            <v>43182</v>
          </cell>
          <cell r="D1198" t="str">
            <v>ANIBAL  BURGARA OPUA</v>
          </cell>
          <cell r="E1198">
            <v>31</v>
          </cell>
          <cell r="F1198" t="str">
            <v>RESOLUCION</v>
          </cell>
          <cell r="G1198">
            <v>1614</v>
          </cell>
          <cell r="H1198">
            <v>43182</v>
          </cell>
          <cell r="I1198" t="str">
            <v>AYUDA TEMPORAL A LAS FAMILIAS DE VARIAS LOCALIDADES, PARA LA RELOCALIZACIÓN DE HOGARES LOCALIZADOS EN ZONAS DE ALTO RIESGO NO MITIGABLE ID:2014-W166-051, LOCALIDAD:19 CIUDAD BOLÍVAR, UPZ:68 EL TESORO, SECTOR:WOUNAAN</v>
          </cell>
          <cell r="J1198">
            <v>4979592</v>
          </cell>
          <cell r="K1198">
            <v>0</v>
          </cell>
          <cell r="L1198">
            <v>4979592</v>
          </cell>
          <cell r="M1198">
            <v>553288</v>
          </cell>
          <cell r="N1198">
            <v>4426304</v>
          </cell>
        </row>
        <row r="1199">
          <cell r="A1199">
            <v>649</v>
          </cell>
          <cell r="B1199">
            <v>1631</v>
          </cell>
          <cell r="C1199">
            <v>43182</v>
          </cell>
          <cell r="D1199" t="str">
            <v>EZEQUIEL  MERCAZA PIRAZA</v>
          </cell>
          <cell r="E1199">
            <v>31</v>
          </cell>
          <cell r="F1199" t="str">
            <v>RESOLUCION</v>
          </cell>
          <cell r="G1199">
            <v>1615</v>
          </cell>
          <cell r="H1199">
            <v>43182</v>
          </cell>
          <cell r="I1199" t="str">
            <v>AYUDA TEMPORAL A LAS FAMILIAS DE VARIAS LOCALIDADES, PARA LA RELOCALIZACIÓN DE HOGARES LOCALIZADOS EN ZONAS DE ALTO RIESGO NO MITIGABLE ID:2014-W166-018, LOCALIDAD:19 CIUDAD BOLÍVAR, UPZ:68 EL TESORO, SECTOR:WOUNAAN</v>
          </cell>
          <cell r="J1199">
            <v>7672262</v>
          </cell>
          <cell r="K1199">
            <v>0</v>
          </cell>
          <cell r="L1199">
            <v>7672262</v>
          </cell>
          <cell r="M1199">
            <v>590174</v>
          </cell>
          <cell r="N1199">
            <v>7082088</v>
          </cell>
        </row>
        <row r="1200">
          <cell r="A1200">
            <v>649</v>
          </cell>
          <cell r="B1200">
            <v>1632</v>
          </cell>
          <cell r="C1200">
            <v>43182</v>
          </cell>
          <cell r="D1200" t="str">
            <v>CIRO  MENDOZA ORTIZ</v>
          </cell>
          <cell r="E1200">
            <v>31</v>
          </cell>
          <cell r="F1200" t="str">
            <v>RESOLUCION</v>
          </cell>
          <cell r="G1200">
            <v>1616</v>
          </cell>
          <cell r="H1200">
            <v>43182</v>
          </cell>
          <cell r="I1200" t="str">
            <v>AYUDA TEMPORAL A LAS FAMILIAS DE VARIAS LOCALIDADES, PARA LA RELOCALIZACIÓN DE HOGARES LOCALIZADOS EN ZONAS DE ALTO RIESGO NO MITIGABLE ID:2015-W166-504, LOCALIDAD:03 SANTA FE, UPZ:96 LOURDES, SECTOR:UITOTO</v>
          </cell>
          <cell r="J1200">
            <v>7536932</v>
          </cell>
          <cell r="K1200">
            <v>0</v>
          </cell>
          <cell r="L1200">
            <v>7536932</v>
          </cell>
          <cell r="M1200">
            <v>579764</v>
          </cell>
          <cell r="N1200">
            <v>6957168</v>
          </cell>
        </row>
        <row r="1201">
          <cell r="A1201">
            <v>649</v>
          </cell>
          <cell r="B1201">
            <v>1633</v>
          </cell>
          <cell r="C1201">
            <v>43182</v>
          </cell>
          <cell r="D1201" t="str">
            <v>ALEXANDER  REINA ALMARIO</v>
          </cell>
          <cell r="E1201">
            <v>31</v>
          </cell>
          <cell r="F1201" t="str">
            <v>RESOLUCION</v>
          </cell>
          <cell r="G1201">
            <v>1617</v>
          </cell>
          <cell r="H1201">
            <v>43182</v>
          </cell>
          <cell r="I1201" t="str">
            <v>AYUDA TEMPORAL A LAS FAMILIAS DE VARIAS LOCALIDADES, PARA LA RELOCALIZACIÓN DE HOGARES LOCALIZADOS EN ZONAS DE ALTO RIESGO NO MITIGABLE ID:2014-Q07-00925, LOCALIDAD:19 CIUDAD BOLÍVAR, UPZ:67 LUCERO, SECTOR:QUEBRADA TROMPETA</v>
          </cell>
          <cell r="J1201">
            <v>6032013</v>
          </cell>
          <cell r="K1201">
            <v>0</v>
          </cell>
          <cell r="L1201">
            <v>6032013</v>
          </cell>
          <cell r="M1201">
            <v>464001</v>
          </cell>
          <cell r="N1201">
            <v>5568012</v>
          </cell>
        </row>
        <row r="1202">
          <cell r="A1202">
            <v>649</v>
          </cell>
          <cell r="B1202">
            <v>1634</v>
          </cell>
          <cell r="C1202">
            <v>43182</v>
          </cell>
          <cell r="D1202" t="str">
            <v>BELENICE  SOBRECAMA CARPIO</v>
          </cell>
          <cell r="E1202">
            <v>31</v>
          </cell>
          <cell r="F1202" t="str">
            <v>RESOLUCION</v>
          </cell>
          <cell r="G1202">
            <v>1618</v>
          </cell>
          <cell r="H1202">
            <v>43182</v>
          </cell>
          <cell r="I1202" t="str">
            <v>AYUDA TEMPORAL A LAS FAMILIAS DE VARIAS LOCALIDADES, PARA LA RELOCALIZACIÓN DE HOGARES LOCALIZADOS EN ZONAS DE ALTO RIESGO NO MITIGABLE ID:2015-W166-521, LOCALIDAD:19 CIUDAD BOLÍVAR, UPZ:67 LUCERO, SECTOR:WOUNAAN</v>
          </cell>
          <cell r="J1202">
            <v>5528393</v>
          </cell>
          <cell r="K1202">
            <v>0</v>
          </cell>
          <cell r="L1202">
            <v>5528393</v>
          </cell>
          <cell r="M1202">
            <v>425261</v>
          </cell>
          <cell r="N1202">
            <v>5103132</v>
          </cell>
        </row>
        <row r="1203">
          <cell r="A1203">
            <v>649</v>
          </cell>
          <cell r="B1203">
            <v>1635</v>
          </cell>
          <cell r="C1203">
            <v>43182</v>
          </cell>
          <cell r="D1203" t="str">
            <v>HENRY  ORTIZ ISMARE</v>
          </cell>
          <cell r="E1203">
            <v>31</v>
          </cell>
          <cell r="F1203" t="str">
            <v>RESOLUCION</v>
          </cell>
          <cell r="G1203">
            <v>1619</v>
          </cell>
          <cell r="H1203">
            <v>43182</v>
          </cell>
          <cell r="I1203" t="str">
            <v>AYUDA TEMPORAL A LAS FAMILIAS DE VARIAS LOCALIDADES, PARA LA RELOCALIZACIÓN DE HOGARES LOCALIZADOS EN ZONAS DE ALTO RIESGO NO MITIGABLE ID:2014-W166-010, LOCALIDAD:19 CIUDAD BOLÍVAR, UPZ:68 EL TESORO, SECTOR:WOUNAAN</v>
          </cell>
          <cell r="J1203">
            <v>6905028</v>
          </cell>
          <cell r="K1203">
            <v>0</v>
          </cell>
          <cell r="L1203">
            <v>6905028</v>
          </cell>
          <cell r="M1203">
            <v>531156</v>
          </cell>
          <cell r="N1203">
            <v>6373872</v>
          </cell>
        </row>
        <row r="1204">
          <cell r="A1204">
            <v>649</v>
          </cell>
          <cell r="B1204">
            <v>1636</v>
          </cell>
          <cell r="C1204">
            <v>43182</v>
          </cell>
          <cell r="D1204" t="str">
            <v>MARIA INES ZAPATA GUTIERREZ</v>
          </cell>
          <cell r="E1204">
            <v>31</v>
          </cell>
          <cell r="F1204" t="str">
            <v>RESOLUCION</v>
          </cell>
          <cell r="G1204">
            <v>1620</v>
          </cell>
          <cell r="H1204">
            <v>43182</v>
          </cell>
          <cell r="I1204" t="str">
            <v>AYUDA TEMPORAL A LAS FAMILIAS DE VARIAS LOCALIDADES, PARA LA RELOCALIZACIÓN DE HOGARES LOCALIZADOS EN ZONAS DE ALTO RIESGO NO MITIGABLE ID:2011-18-12391, LOCALIDAD:18 RAFAEL URIBE URIBE, UPZ:55 DIANA TURBAY, SECTOR:OLA INVERNAL 2010 FOPAE</v>
          </cell>
          <cell r="J1204">
            <v>7000929</v>
          </cell>
          <cell r="K1204">
            <v>0</v>
          </cell>
          <cell r="L1204">
            <v>7000929</v>
          </cell>
          <cell r="M1204">
            <v>538533</v>
          </cell>
          <cell r="N1204">
            <v>6462396</v>
          </cell>
        </row>
        <row r="1205">
          <cell r="A1205">
            <v>649</v>
          </cell>
          <cell r="B1205">
            <v>1637</v>
          </cell>
          <cell r="C1205">
            <v>43182</v>
          </cell>
          <cell r="D1205" t="str">
            <v>REGINALDO  PIZARIO CHAMAPURO</v>
          </cell>
          <cell r="E1205">
            <v>31</v>
          </cell>
          <cell r="F1205" t="str">
            <v>RESOLUCION</v>
          </cell>
          <cell r="G1205">
            <v>1621</v>
          </cell>
          <cell r="H1205">
            <v>43182</v>
          </cell>
          <cell r="I1205" t="str">
            <v>AYUDA TEMPORAL A LAS FAMILIAS DE VARIAS LOCALIDADES, PARA LA RELOCALIZACIÓN DE HOGARES LOCALIZADOS EN ZONAS DE ALTO RIESGO NO MITIGABLE ID:2014-W166-003, LOCALIDAD:19 CIUDAD BOLÍVAR, UPZ:68 EL TESORO, SECTOR:WOUNAAN</v>
          </cell>
          <cell r="J1205">
            <v>5311566</v>
          </cell>
          <cell r="K1205">
            <v>0</v>
          </cell>
          <cell r="L1205">
            <v>5311566</v>
          </cell>
          <cell r="M1205">
            <v>590174</v>
          </cell>
          <cell r="N1205">
            <v>4721392</v>
          </cell>
        </row>
        <row r="1206">
          <cell r="A1206">
            <v>649</v>
          </cell>
          <cell r="B1206">
            <v>1638</v>
          </cell>
          <cell r="C1206">
            <v>43182</v>
          </cell>
          <cell r="D1206" t="str">
            <v>ROSENDO  OPUA GUACORIZO</v>
          </cell>
          <cell r="E1206">
            <v>31</v>
          </cell>
          <cell r="F1206" t="str">
            <v>RESOLUCION</v>
          </cell>
          <cell r="G1206">
            <v>1622</v>
          </cell>
          <cell r="H1206">
            <v>43182</v>
          </cell>
          <cell r="I1206" t="str">
            <v>AYUDA TEMPORAL A LAS FAMILIAS DE VARIAS LOCALIDADES, PARA LA RELOCALIZACIÓN DE HOGARES LOCALIZADOS EN ZONAS DE ALTO RIESGO NO MITIGABLE ID:2014-W166-089, LOCALIDAD:19 CIUDAD BOLÍVAR, UPZ:68 EL TESORO, SECTOR:WOUNAAN</v>
          </cell>
          <cell r="J1206">
            <v>3585303</v>
          </cell>
          <cell r="K1206">
            <v>0</v>
          </cell>
          <cell r="L1206">
            <v>3585303</v>
          </cell>
          <cell r="M1206">
            <v>398367</v>
          </cell>
          <cell r="N1206">
            <v>3186936</v>
          </cell>
        </row>
        <row r="1207">
          <cell r="A1207">
            <v>711</v>
          </cell>
          <cell r="B1207">
            <v>1639</v>
          </cell>
          <cell r="C1207">
            <v>43182</v>
          </cell>
          <cell r="D1207" t="str">
            <v>MANUEL CAMILO MARTINEZ OSORIO</v>
          </cell>
          <cell r="E1207">
            <v>148</v>
          </cell>
          <cell r="F1207" t="str">
            <v>CONTRATO DE PRESTACION DE SERVICIOS DE APOYO A LA GESTION</v>
          </cell>
          <cell r="G1207">
            <v>569</v>
          </cell>
          <cell r="H1207">
            <v>43182</v>
          </cell>
          <cell r="I1207" t="str">
            <v>Pròrroga y Adiciòn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Kennedy".Cordialmente,</v>
          </cell>
          <cell r="J1207">
            <v>7200000</v>
          </cell>
          <cell r="K1207">
            <v>0</v>
          </cell>
          <cell r="L1207">
            <v>7200000</v>
          </cell>
          <cell r="M1207">
            <v>400000</v>
          </cell>
          <cell r="N1207">
            <v>6800000</v>
          </cell>
        </row>
        <row r="1208">
          <cell r="A1208">
            <v>668</v>
          </cell>
          <cell r="B1208">
            <v>1640</v>
          </cell>
          <cell r="C1208">
            <v>43182</v>
          </cell>
          <cell r="D1208" t="str">
            <v>HERNANDO  GOMEZ AMAYA</v>
          </cell>
          <cell r="E1208">
            <v>31</v>
          </cell>
          <cell r="F1208" t="str">
            <v>RESOLUCION</v>
          </cell>
          <cell r="G1208">
            <v>1631</v>
          </cell>
          <cell r="H1208">
            <v>43182</v>
          </cell>
          <cell r="I1208" t="str">
            <v>ASIGNACION DEL INSTRUMENTO FINANCIERO A LAS FAMILIAS OCUPANTES DEL PREDIO QUE HAYAN SUPERADO LA FASE DE VERIFICACION DENTRO  DEL MARCO DEL DECRETO 457 DE 2017. LOCALIDAD: KENNEDY; BARRIO: VEREDITAS; ID: 2018-8-384266</v>
          </cell>
          <cell r="J1208">
            <v>54686940</v>
          </cell>
          <cell r="K1208">
            <v>0</v>
          </cell>
          <cell r="L1208">
            <v>54686940</v>
          </cell>
          <cell r="M1208">
            <v>54686940</v>
          </cell>
          <cell r="N1208">
            <v>0</v>
          </cell>
        </row>
        <row r="1209">
          <cell r="A1209">
            <v>678</v>
          </cell>
          <cell r="B1209">
            <v>1641</v>
          </cell>
          <cell r="C1209">
            <v>43182</v>
          </cell>
          <cell r="D1209" t="str">
            <v>LOURDES CELINA NAVAS</v>
          </cell>
          <cell r="E1209">
            <v>31</v>
          </cell>
          <cell r="F1209" t="str">
            <v>RESOLUCION</v>
          </cell>
          <cell r="G1209">
            <v>1629</v>
          </cell>
          <cell r="H1209">
            <v>43182</v>
          </cell>
          <cell r="I1209" t="str">
            <v>Asignacion del instrumento financiero a las familias ocupantes del predio que hayan superado la fase de verificacion dentro  del marco del Decreto 457 de 2017. LOCALIDAD: KENNEDY; BARRIO: VEREDITAS; ID: 2017-8-383771</v>
          </cell>
          <cell r="J1209">
            <v>54686940</v>
          </cell>
          <cell r="K1209">
            <v>0</v>
          </cell>
          <cell r="L1209">
            <v>54686940</v>
          </cell>
          <cell r="M1209">
            <v>0</v>
          </cell>
          <cell r="N1209">
            <v>54686940</v>
          </cell>
        </row>
        <row r="1210">
          <cell r="A1210">
            <v>649</v>
          </cell>
          <cell r="B1210">
            <v>1642</v>
          </cell>
          <cell r="C1210">
            <v>43182</v>
          </cell>
          <cell r="D1210" t="str">
            <v>GERARDO  CHIRIPUA DURA</v>
          </cell>
          <cell r="E1210">
            <v>31</v>
          </cell>
          <cell r="F1210" t="str">
            <v>RESOLUCION</v>
          </cell>
          <cell r="G1210">
            <v>1554</v>
          </cell>
          <cell r="H1210">
            <v>43182</v>
          </cell>
          <cell r="I1210" t="str">
            <v>AYUDA TEMPORAL A LAS FAMILIAS DE VARIAS LOCALIDADES, PARA LA RELOCALIZACIÓN DE HOGARES LOCALIZADOS EN ZONAS DE ALTO RIESGO NO MITIGABLE ID:2015-W166-520, LOCALIDAD:19 CIUDAD BOLÍVAR, UPZ:67 LUCERO, SECTOR:WOUNAAN</v>
          </cell>
          <cell r="J1210">
            <v>3983670</v>
          </cell>
          <cell r="K1210">
            <v>0</v>
          </cell>
          <cell r="L1210">
            <v>3983670</v>
          </cell>
          <cell r="M1210">
            <v>442630</v>
          </cell>
          <cell r="N1210">
            <v>3541040</v>
          </cell>
        </row>
        <row r="1211">
          <cell r="A1211">
            <v>649</v>
          </cell>
          <cell r="B1211">
            <v>1643</v>
          </cell>
          <cell r="C1211">
            <v>43182</v>
          </cell>
          <cell r="D1211" t="str">
            <v>MARIA LUCIA RODRIGEZ CACERES</v>
          </cell>
          <cell r="E1211">
            <v>31</v>
          </cell>
          <cell r="F1211" t="str">
            <v>RESOLUCION</v>
          </cell>
          <cell r="G1211">
            <v>1555</v>
          </cell>
          <cell r="H1211">
            <v>43182</v>
          </cell>
          <cell r="I1211" t="str">
            <v>AYUDA TEMPORAL A LAS FAMILIAS DE VARIAS LOCALIDADES, PARA LA RELOCALIZACIÓN DE HOGARES LOCALIZADOS EN ZONAS DE ALTO RIESGO NO MITIGABLE ID:2016-08-14876, LOCALIDAD:08 KENNEDY, UPZ:82 PATIO BONITO, SECTOR:PALMITAS</v>
          </cell>
          <cell r="J1211">
            <v>6713226</v>
          </cell>
          <cell r="K1211">
            <v>0</v>
          </cell>
          <cell r="L1211">
            <v>6713226</v>
          </cell>
          <cell r="M1211">
            <v>516402</v>
          </cell>
          <cell r="N1211">
            <v>6196824</v>
          </cell>
        </row>
        <row r="1212">
          <cell r="A1212">
            <v>649</v>
          </cell>
          <cell r="B1212">
            <v>1644</v>
          </cell>
          <cell r="C1212">
            <v>43182</v>
          </cell>
          <cell r="D1212" t="str">
            <v>NIDYA SOFIA CACERES PEÑALOZA</v>
          </cell>
          <cell r="E1212">
            <v>31</v>
          </cell>
          <cell r="F1212" t="str">
            <v>RESOLUCION</v>
          </cell>
          <cell r="G1212">
            <v>1556</v>
          </cell>
          <cell r="H1212">
            <v>43182</v>
          </cell>
          <cell r="I1212" t="str">
            <v>AYUDA TEMPORAL A LAS FAMILIAS DE VARIAS LOCALIDADES, PARA LA RELOCALIZACIÓN DE HOGARES LOCALIZADOS EN ZONAS DE ALTO RIESGO NO MITIGABLE ID:2016-08-14878, LOCALIDAD:08 KENNEDY, UPZ:82 PATIO BONITO, SECTOR:PALMITAS</v>
          </cell>
          <cell r="J1212">
            <v>6425510</v>
          </cell>
          <cell r="K1212">
            <v>0</v>
          </cell>
          <cell r="L1212">
            <v>6425510</v>
          </cell>
          <cell r="M1212">
            <v>494270</v>
          </cell>
          <cell r="N1212">
            <v>5931240</v>
          </cell>
        </row>
        <row r="1213">
          <cell r="A1213">
            <v>649</v>
          </cell>
          <cell r="B1213">
            <v>1645</v>
          </cell>
          <cell r="C1213">
            <v>43182</v>
          </cell>
          <cell r="D1213" t="str">
            <v>JHON EDUAR MOÑA MOYA</v>
          </cell>
          <cell r="E1213">
            <v>31</v>
          </cell>
          <cell r="F1213" t="str">
            <v>RESOLUCION</v>
          </cell>
          <cell r="G1213">
            <v>1557</v>
          </cell>
          <cell r="H1213">
            <v>43182</v>
          </cell>
          <cell r="I1213" t="str">
            <v>AYUDA TEMPORAL A LAS FAMILIAS DE VARIAS LOCALIDADES, PARA LA RELOCALIZACIÓN DE HOGARES LOCALIZADOS EN ZONAS DE ALTO RIESGO NO MITIGABLE ID:2015-W166-535, LOCALIDAD:04 SAN CRISTÓBAL, UPZ:34 20 DE JULIO, SECTOR:EPERARA</v>
          </cell>
          <cell r="J1213">
            <v>6472401</v>
          </cell>
          <cell r="K1213">
            <v>0</v>
          </cell>
          <cell r="L1213">
            <v>6472401</v>
          </cell>
          <cell r="M1213">
            <v>497877</v>
          </cell>
          <cell r="N1213">
            <v>5974524</v>
          </cell>
        </row>
        <row r="1214">
          <cell r="A1214">
            <v>649</v>
          </cell>
          <cell r="B1214">
            <v>1646</v>
          </cell>
          <cell r="C1214">
            <v>43182</v>
          </cell>
          <cell r="D1214" t="str">
            <v>HERMINIO  PIRAZA MERCAZA</v>
          </cell>
          <cell r="E1214">
            <v>31</v>
          </cell>
          <cell r="F1214" t="str">
            <v>RESOLUCION</v>
          </cell>
          <cell r="G1214">
            <v>1558</v>
          </cell>
          <cell r="H1214">
            <v>43182</v>
          </cell>
          <cell r="I1214" t="str">
            <v>AYUDA TEMPORAL A LAS FAMILIAS DE VARIAS LOCALIDADES, PARA LA RELOCALIZACIÓN DE HOGARES LOCALIZADOS EN ZONAS DE ALTO RIESGO NO MITIGABLE ID:2015-W166-430, LOCALIDAD:19 CIUDAD BOLÍVAR, UPZ:68 EL TESORO, SECTOR:WOUNAAN</v>
          </cell>
          <cell r="J1214">
            <v>7480447</v>
          </cell>
          <cell r="K1214">
            <v>0</v>
          </cell>
          <cell r="L1214">
            <v>7480447</v>
          </cell>
          <cell r="M1214">
            <v>575419</v>
          </cell>
          <cell r="N1214">
            <v>6905028</v>
          </cell>
        </row>
        <row r="1215">
          <cell r="A1215">
            <v>649</v>
          </cell>
          <cell r="B1215">
            <v>1647</v>
          </cell>
          <cell r="C1215">
            <v>43182</v>
          </cell>
          <cell r="D1215" t="str">
            <v>OFELIA  OBISPO MEMBACHE</v>
          </cell>
          <cell r="E1215">
            <v>31</v>
          </cell>
          <cell r="F1215" t="str">
            <v>RESOLUCION</v>
          </cell>
          <cell r="G1215">
            <v>1559</v>
          </cell>
          <cell r="H1215">
            <v>43182</v>
          </cell>
          <cell r="I1215" t="str">
            <v>AYUDA TEMPORAL A LAS FAMILIAS DE VARIAS LOCALIDADES, PARA LA RELOCALIZACIÓN DE HOGARES LOCALIZADOS EN ZONAS DE ALTO RIESGO NO MITIGABLE ID:2015-W166-514, LOCALIDAD:19 CIUDAD BOLÍVAR, UPZ:67 LUCERO, SECTOR:WOUNAAN</v>
          </cell>
          <cell r="J1215">
            <v>7672262</v>
          </cell>
          <cell r="K1215">
            <v>0</v>
          </cell>
          <cell r="L1215">
            <v>7672262</v>
          </cell>
          <cell r="M1215">
            <v>590174</v>
          </cell>
          <cell r="N1215">
            <v>7082088</v>
          </cell>
        </row>
        <row r="1216">
          <cell r="A1216">
            <v>649</v>
          </cell>
          <cell r="B1216">
            <v>1648</v>
          </cell>
          <cell r="C1216">
            <v>43182</v>
          </cell>
          <cell r="D1216" t="str">
            <v>PIOQUINTO  DURA OBISPO</v>
          </cell>
          <cell r="E1216">
            <v>31</v>
          </cell>
          <cell r="F1216" t="str">
            <v>RESOLUCION</v>
          </cell>
          <cell r="G1216">
            <v>1560</v>
          </cell>
          <cell r="H1216">
            <v>43182</v>
          </cell>
          <cell r="I1216" t="str">
            <v>AYUDA TEMPORAL A LAS FAMILIAS DE VARIAS LOCALIDADES, PARA LA RELOCALIZACIÓN DE HOGARES LOCALIZADOS EN ZONAS DE ALTO RIESGO NO MITIGABLE ID:2014-W166-028, LOCALIDAD:19 CIUDAD BOLÍVAR, UPZ:67 LUCERO, SECTOR:WOUNAAN</v>
          </cell>
          <cell r="J1216">
            <v>7672262</v>
          </cell>
          <cell r="K1216">
            <v>0</v>
          </cell>
          <cell r="L1216">
            <v>7672262</v>
          </cell>
          <cell r="M1216">
            <v>590174</v>
          </cell>
          <cell r="N1216">
            <v>7082088</v>
          </cell>
        </row>
        <row r="1217">
          <cell r="A1217">
            <v>649</v>
          </cell>
          <cell r="B1217">
            <v>1649</v>
          </cell>
          <cell r="C1217">
            <v>43182</v>
          </cell>
          <cell r="D1217" t="str">
            <v>DIRIO  CHAUCARAMA ISMARE</v>
          </cell>
          <cell r="E1217">
            <v>31</v>
          </cell>
          <cell r="F1217" t="str">
            <v>RESOLUCION</v>
          </cell>
          <cell r="G1217">
            <v>1562</v>
          </cell>
          <cell r="H1217">
            <v>43182</v>
          </cell>
          <cell r="I1217" t="str">
            <v>AYUDA TEMPORAL A LAS FAMILIAS DE VARIAS LOCALIDADES, PARA LA RELOCALIZACIÓN DE HOGARES LOCALIZADOS EN ZONAS DE ALTO RIESGO NO MITIGABLE ID:2014-W166-053, LOCALIDAD:19 CIUDAD BOLÍVAR, UPZ:68 EL TESORO, SECTOR:WOUNAAN</v>
          </cell>
          <cell r="J1217">
            <v>7007741</v>
          </cell>
          <cell r="K1217">
            <v>0</v>
          </cell>
          <cell r="L1217">
            <v>7007741</v>
          </cell>
          <cell r="M1217">
            <v>539057</v>
          </cell>
          <cell r="N1217">
            <v>6468684</v>
          </cell>
        </row>
        <row r="1218">
          <cell r="A1218">
            <v>649</v>
          </cell>
          <cell r="B1218">
            <v>1650</v>
          </cell>
          <cell r="C1218">
            <v>43182</v>
          </cell>
          <cell r="D1218" t="str">
            <v>CLAMEDE  MEMBACHE GARCIA</v>
          </cell>
          <cell r="E1218">
            <v>31</v>
          </cell>
          <cell r="F1218" t="str">
            <v>RESOLUCION</v>
          </cell>
          <cell r="G1218">
            <v>1563</v>
          </cell>
          <cell r="H1218">
            <v>43182</v>
          </cell>
          <cell r="I1218" t="str">
            <v>AYUDA TEMPORAL A LAS FAMILIAS DE VARIAS LOCALIDADES, PARA LA RELOCALIZACIÓN DE HOGARES LOCALIZADOS EN ZONAS DE ALTO RIESGO NO MITIGABLE ID:2014-W166-045, LOCALIDAD:19 CIUDAD BOLÍVAR, UPZ:67 LUCERO, SECTOR:WOUNAAN</v>
          </cell>
          <cell r="J1218">
            <v>6098400</v>
          </cell>
          <cell r="K1218">
            <v>0</v>
          </cell>
          <cell r="L1218">
            <v>6098400</v>
          </cell>
          <cell r="M1218">
            <v>554400</v>
          </cell>
          <cell r="N1218">
            <v>5544000</v>
          </cell>
        </row>
        <row r="1219">
          <cell r="A1219">
            <v>649</v>
          </cell>
          <cell r="B1219">
            <v>1651</v>
          </cell>
          <cell r="C1219">
            <v>43182</v>
          </cell>
          <cell r="D1219" t="str">
            <v>JACOB  QUIRO CARDENAS</v>
          </cell>
          <cell r="E1219">
            <v>31</v>
          </cell>
          <cell r="F1219" t="str">
            <v>RESOLUCION</v>
          </cell>
          <cell r="G1219">
            <v>1564</v>
          </cell>
          <cell r="H1219">
            <v>43182</v>
          </cell>
          <cell r="I1219" t="str">
            <v>AYUDA TEMPORAL A LAS FAMILIAS DE VARIAS LOCALIDADES, PARA LA RELOCALIZACIÓN DE HOGARES LOCALIZADOS EN ZONAS DE ALTO RIESGO NO MITIGABLE ID:2014-W166-064, LOCALIDAD:19 CIUDAD BOLÍVAR, UPZ:68 EL TESORO, SECTOR:WOUNAAN</v>
          </cell>
          <cell r="J1219">
            <v>4797000</v>
          </cell>
          <cell r="K1219">
            <v>0</v>
          </cell>
          <cell r="L1219">
            <v>4797000</v>
          </cell>
          <cell r="M1219">
            <v>479700</v>
          </cell>
          <cell r="N1219">
            <v>4317300</v>
          </cell>
        </row>
        <row r="1220">
          <cell r="A1220">
            <v>649</v>
          </cell>
          <cell r="B1220">
            <v>1652</v>
          </cell>
          <cell r="C1220">
            <v>43182</v>
          </cell>
          <cell r="D1220" t="str">
            <v>JOSE ALFREDO CHIRIMIA HUESO</v>
          </cell>
          <cell r="E1220">
            <v>31</v>
          </cell>
          <cell r="F1220" t="str">
            <v>RESOLUCION</v>
          </cell>
          <cell r="G1220">
            <v>1565</v>
          </cell>
          <cell r="H1220">
            <v>43182</v>
          </cell>
          <cell r="I1220" t="str">
            <v>AYUDA TEMPORAL A LAS FAMILIAS DE VARIAS LOCALIDADES, PARA LA RELOCALIZACIÓN DE HOGARES LOCALIZADOS EN ZONAS DE ALTO RIESGO NO MITIGABLE ID:2015-W166-400, LOCALIDAD:03 SANTA FE, UPZ:95 LAS CRUCES, SECTOR:EPERARA</v>
          </cell>
          <cell r="J1220">
            <v>5311560</v>
          </cell>
          <cell r="K1220">
            <v>0</v>
          </cell>
          <cell r="L1220">
            <v>5311560</v>
          </cell>
          <cell r="M1220">
            <v>531156</v>
          </cell>
          <cell r="N1220">
            <v>4780404</v>
          </cell>
        </row>
        <row r="1221">
          <cell r="A1221">
            <v>649</v>
          </cell>
          <cell r="B1221">
            <v>1653</v>
          </cell>
          <cell r="C1221">
            <v>43182</v>
          </cell>
          <cell r="D1221" t="str">
            <v>CELMA  DURA ISMARE</v>
          </cell>
          <cell r="E1221">
            <v>31</v>
          </cell>
          <cell r="F1221" t="str">
            <v>RESOLUCION</v>
          </cell>
          <cell r="G1221">
            <v>1566</v>
          </cell>
          <cell r="H1221">
            <v>43182</v>
          </cell>
          <cell r="I1221" t="str">
            <v>AYUDA TEMPORAL A LAS FAMILIAS DE VARIAS LOCALIDADES, PARA LA RELOCALIZACIÓN DE HOGARES LOCALIZADOS EN ZONAS DE ALTO RIESGO NO MITIGABLE ID:2015-W166-439, LOCALIDAD:19 CIUDAD BOLÍVAR, UPZ:68 EL TESORO, SECTOR:WOUNAAN</v>
          </cell>
          <cell r="J1221">
            <v>6086168</v>
          </cell>
          <cell r="K1221">
            <v>0</v>
          </cell>
          <cell r="L1221">
            <v>6086168</v>
          </cell>
          <cell r="M1221">
            <v>553288</v>
          </cell>
          <cell r="N1221">
            <v>5532880</v>
          </cell>
        </row>
        <row r="1222">
          <cell r="A1222">
            <v>649</v>
          </cell>
          <cell r="B1222">
            <v>1654</v>
          </cell>
          <cell r="C1222">
            <v>43182</v>
          </cell>
          <cell r="D1222" t="str">
            <v>JESUS MARIO MERCAZA CHAMAPURO</v>
          </cell>
          <cell r="E1222">
            <v>31</v>
          </cell>
          <cell r="F1222" t="str">
            <v>RESOLUCION</v>
          </cell>
          <cell r="G1222">
            <v>1567</v>
          </cell>
          <cell r="H1222">
            <v>43182</v>
          </cell>
          <cell r="I1222" t="str">
            <v>AYUDA TEMPORAL A LAS FAMILIAS DE VARIAS LOCALIDADES, PARA LA RELOCALIZACIÓN DE HOGARES LOCALIZADOS EN ZONAS DE ALTO RIESGO NO MITIGABLE ID:2015-W166-422, LOCALIDAD:19 CIUDAD BOLÍVAR, UPZ:67 LUCERO, SECTOR:WOUNAAN</v>
          </cell>
          <cell r="J1222">
            <v>5953904</v>
          </cell>
          <cell r="K1222">
            <v>0</v>
          </cell>
          <cell r="L1222">
            <v>5953904</v>
          </cell>
          <cell r="M1222">
            <v>541264</v>
          </cell>
          <cell r="N1222">
            <v>5412640</v>
          </cell>
        </row>
        <row r="1223">
          <cell r="A1223">
            <v>649</v>
          </cell>
          <cell r="B1223">
            <v>1655</v>
          </cell>
          <cell r="C1223">
            <v>43182</v>
          </cell>
          <cell r="D1223" t="str">
            <v>HERNANDO  PIRAZA ISMARE</v>
          </cell>
          <cell r="E1223">
            <v>31</v>
          </cell>
          <cell r="F1223" t="str">
            <v>RESOLUCION</v>
          </cell>
          <cell r="G1223">
            <v>1568</v>
          </cell>
          <cell r="H1223">
            <v>43182</v>
          </cell>
          <cell r="I1223" t="str">
            <v>AYUDA TEMPORAL A LAS FAMILIAS DE VARIAS LOCALIDADES, PARA LA RELOCALIZACIÓN DE HOGARES LOCALIZADOS EN ZONAS DE ALTO RIESGO NO MITIGABLE ID:2014-W166-029, LOCALIDAD:19 CIUDAD BOLÍVAR, UPZ:67 LUCERO, SECTOR:WOUNAAN</v>
          </cell>
          <cell r="J1223">
            <v>6491914</v>
          </cell>
          <cell r="K1223">
            <v>0</v>
          </cell>
          <cell r="L1223">
            <v>6491914</v>
          </cell>
          <cell r="M1223">
            <v>590174</v>
          </cell>
          <cell r="N1223">
            <v>5901740</v>
          </cell>
        </row>
        <row r="1224">
          <cell r="A1224">
            <v>649</v>
          </cell>
          <cell r="B1224">
            <v>1657</v>
          </cell>
          <cell r="C1224">
            <v>43185</v>
          </cell>
          <cell r="D1224" t="str">
            <v>JAIDAN  QUIRO PIRAZA</v>
          </cell>
          <cell r="E1224">
            <v>31</v>
          </cell>
          <cell r="F1224" t="str">
            <v>RESOLUCION</v>
          </cell>
          <cell r="G1224">
            <v>1561</v>
          </cell>
          <cell r="H1224">
            <v>43185</v>
          </cell>
          <cell r="I1224" t="str">
            <v>AYUDA TEMPORAL A LAS FAMILIAS DE VARIAS LOCALIDADES, PARA LA RELOCALIZACIÓN DE HOGARES LOCALIZADOS EN ZONAS DE ALTO RIESGO NO MITIGABLE ID: 2015-W166-528, LOCALIDAD: 19 CIUDAD BOLIVAR, UPZ: 67 LUCERO, SECTOR: WOUNAAN</v>
          </cell>
          <cell r="J1224">
            <v>5311560</v>
          </cell>
          <cell r="K1224">
            <v>0</v>
          </cell>
          <cell r="L1224">
            <v>5311560</v>
          </cell>
          <cell r="M1224">
            <v>531156</v>
          </cell>
          <cell r="N1224">
            <v>4780404</v>
          </cell>
        </row>
        <row r="1225">
          <cell r="A1225">
            <v>682</v>
          </cell>
          <cell r="B1225">
            <v>1661</v>
          </cell>
          <cell r="C1225">
            <v>43186</v>
          </cell>
          <cell r="D1225" t="str">
            <v>LUZ DARY TRIANA AGUIAR</v>
          </cell>
          <cell r="E1225">
            <v>31</v>
          </cell>
          <cell r="F1225" t="str">
            <v>RESOLUCION</v>
          </cell>
          <cell r="G1225">
            <v>1627</v>
          </cell>
          <cell r="H1225">
            <v>43186</v>
          </cell>
          <cell r="I1225" t="str">
            <v>VUR de la actual vigencia.Dto 255 de 2013. LOCALIDAD:CIUDAD BOLIVAR; BARRIO:POTOSI; ID:2015-Q18-04422</v>
          </cell>
          <cell r="J1225">
            <v>39062100</v>
          </cell>
          <cell r="K1225">
            <v>0</v>
          </cell>
          <cell r="L1225">
            <v>39062100</v>
          </cell>
          <cell r="M1225">
            <v>0</v>
          </cell>
          <cell r="N1225">
            <v>39062100</v>
          </cell>
        </row>
        <row r="1226">
          <cell r="A1226">
            <v>618</v>
          </cell>
          <cell r="B1226">
            <v>1663</v>
          </cell>
          <cell r="C1226">
            <v>43192</v>
          </cell>
          <cell r="D1226" t="str">
            <v>BEYER BENJAMIN GALINDO CASTELBLANCO</v>
          </cell>
          <cell r="E1226">
            <v>31</v>
          </cell>
          <cell r="F1226" t="str">
            <v>RESOLUCION</v>
          </cell>
          <cell r="G1226">
            <v>1628</v>
          </cell>
          <cell r="H1226">
            <v>43192</v>
          </cell>
          <cell r="I1226" t="str">
            <v>Asignacion del instrumento financiero a las familias ocupantes del predio que hayan superado la fase de verificacion dentro  del marco del Decreto 457 de 2017. LOCALIDAD: KENNEDY; BARRIO: VEREDITAS; ID: 2017-8-383638</v>
          </cell>
          <cell r="J1226">
            <v>54686940</v>
          </cell>
          <cell r="K1226">
            <v>0</v>
          </cell>
          <cell r="L1226">
            <v>54686940</v>
          </cell>
          <cell r="M1226">
            <v>54686940</v>
          </cell>
          <cell r="N1226">
            <v>0</v>
          </cell>
        </row>
        <row r="1227">
          <cell r="A1227">
            <v>476</v>
          </cell>
          <cell r="B1227">
            <v>1664</v>
          </cell>
          <cell r="C1227">
            <v>43192</v>
          </cell>
          <cell r="D1227" t="str">
            <v>ANDRES  YATE</v>
          </cell>
          <cell r="E1227">
            <v>31</v>
          </cell>
          <cell r="F1227" t="str">
            <v>RESOLUCION</v>
          </cell>
          <cell r="G1227">
            <v>1689</v>
          </cell>
          <cell r="H1227">
            <v>43192</v>
          </cell>
          <cell r="I1227" t="str">
            <v>adquisición de mejoras y cesión de la posesión por Decreto 511 de 2010. LOCALIDAD: CIUDAD BOLIVAR; BARRIO: SANTA VIVIANA; ID: 2003-19-5176</v>
          </cell>
          <cell r="J1227">
            <v>24984000</v>
          </cell>
          <cell r="K1227">
            <v>0</v>
          </cell>
          <cell r="L1227">
            <v>24984000</v>
          </cell>
          <cell r="M1227">
            <v>0</v>
          </cell>
          <cell r="N1227">
            <v>24984000</v>
          </cell>
        </row>
        <row r="1228">
          <cell r="A1228">
            <v>703</v>
          </cell>
          <cell r="B1228">
            <v>1665</v>
          </cell>
          <cell r="C1228">
            <v>43192</v>
          </cell>
          <cell r="D1228" t="str">
            <v>JONATHAN ALEJANDRO BRAVO CHAVARRIO</v>
          </cell>
          <cell r="E1228">
            <v>31</v>
          </cell>
          <cell r="F1228" t="str">
            <v>RESOLUCION</v>
          </cell>
          <cell r="G1228">
            <v>1685</v>
          </cell>
          <cell r="H1228">
            <v>43192</v>
          </cell>
          <cell r="I1228" t="str">
            <v>Asignacion del instrumento financiero a las familias ocupantes del predio que hayan superado la fase de verificacion dentro  del marco del Decreto 457 de 2017. LOCALIDAD: KENNEDY; BARRIO: VEREDITAS; ID: 2017-8-383670</v>
          </cell>
          <cell r="J1228">
            <v>54686940</v>
          </cell>
          <cell r="K1228">
            <v>0</v>
          </cell>
          <cell r="L1228">
            <v>54686940</v>
          </cell>
          <cell r="M1228">
            <v>0</v>
          </cell>
          <cell r="N1228">
            <v>54686940</v>
          </cell>
        </row>
        <row r="1229">
          <cell r="A1229">
            <v>649</v>
          </cell>
          <cell r="B1229">
            <v>1668</v>
          </cell>
          <cell r="C1229">
            <v>43194</v>
          </cell>
          <cell r="D1229" t="str">
            <v>LUIS HERNAN SIERRA CASAS</v>
          </cell>
          <cell r="E1229">
            <v>31</v>
          </cell>
          <cell r="F1229" t="str">
            <v>RESOLUCION</v>
          </cell>
          <cell r="G1229">
            <v>1747</v>
          </cell>
          <cell r="H1229">
            <v>43194</v>
          </cell>
          <cell r="I1229" t="str">
            <v>AYUDA TEMPORAL A LAS FAMILIAS DE VARIAS LOCALIDADES, PARA LA RELOCALIZACIÓN DE HOGARES LOCALIZADOS EN ZONAS DE ALTO RIESGO NO MITIGABLE ID:2015-D227-00030, LOCALIDAD:04 SAN CRISTÓBAL, UPZ:51 LOS LIBERTADORES, SECTOR:SANTA TERESITA</v>
          </cell>
          <cell r="J1229">
            <v>2977345</v>
          </cell>
          <cell r="K1229">
            <v>0</v>
          </cell>
          <cell r="L1229">
            <v>2977345</v>
          </cell>
          <cell r="M1229">
            <v>425335</v>
          </cell>
          <cell r="N1229">
            <v>2552010</v>
          </cell>
        </row>
        <row r="1230">
          <cell r="A1230">
            <v>395</v>
          </cell>
          <cell r="B1230">
            <v>1669</v>
          </cell>
          <cell r="C1230">
            <v>43194</v>
          </cell>
          <cell r="D1230" t="str">
            <v>EVANGELISTA  MORALES MORALES</v>
          </cell>
          <cell r="E1230">
            <v>31</v>
          </cell>
          <cell r="F1230" t="str">
            <v>RESOLUCION</v>
          </cell>
          <cell r="G1230">
            <v>1746</v>
          </cell>
          <cell r="H1230">
            <v>43194</v>
          </cell>
          <cell r="I1230" t="str">
            <v>AYUDA TEMPORAL A LAS FAMILIAS DE VARIAS LOCALIDADES, PARA RELOCALIZACIÓN DE HOGARES LOCALIZADOS EN ZONAS DE ALTO RIESGO NO MITIGABLE ID:2013-Q10-00506, LOCALIDAD:04 SAN CRISTÓBAL, UPZ:51 LOS LIBERTADORES, SECTOR:QUEBRADA VEREJONES</v>
          </cell>
          <cell r="J1230">
            <v>3201695</v>
          </cell>
          <cell r="K1230">
            <v>0</v>
          </cell>
          <cell r="L1230">
            <v>3201695</v>
          </cell>
          <cell r="M1230">
            <v>457385</v>
          </cell>
          <cell r="N1230">
            <v>2744310</v>
          </cell>
        </row>
        <row r="1231">
          <cell r="A1231">
            <v>649</v>
          </cell>
          <cell r="B1231">
            <v>1670</v>
          </cell>
          <cell r="C1231">
            <v>43194</v>
          </cell>
          <cell r="D1231" t="str">
            <v>EMILIANO  CHIRIPUA</v>
          </cell>
          <cell r="E1231">
            <v>31</v>
          </cell>
          <cell r="F1231" t="str">
            <v>RESOLUCION</v>
          </cell>
          <cell r="G1231">
            <v>1745</v>
          </cell>
          <cell r="H1231">
            <v>43194</v>
          </cell>
          <cell r="I1231" t="str">
            <v>AYUDA TEMPORAL A LAS FAMILIAS DE VARIAS LOCALIDADES, PARA LA RELOCALIZACIÓN DE HOGARES LOCALIZADOS EN ZONAS DE ALTO RIESGO NO MITIGABLE ID:2014-W166-001, LOCALIDAD:19 CIUDAD BOLÍVAR, UPZ:68 EL TESORO, SECTOR:WOUNAAN</v>
          </cell>
          <cell r="J1231">
            <v>7480447</v>
          </cell>
          <cell r="K1231">
            <v>0</v>
          </cell>
          <cell r="L1231">
            <v>7480447</v>
          </cell>
          <cell r="M1231">
            <v>575419</v>
          </cell>
          <cell r="N1231">
            <v>6905028</v>
          </cell>
        </row>
        <row r="1232">
          <cell r="A1232">
            <v>649</v>
          </cell>
          <cell r="B1232">
            <v>1671</v>
          </cell>
          <cell r="C1232">
            <v>43194</v>
          </cell>
          <cell r="D1232" t="str">
            <v>MARTHA CECILIA RIAÑO ROCHA</v>
          </cell>
          <cell r="E1232">
            <v>31</v>
          </cell>
          <cell r="F1232" t="str">
            <v>RESOLUCION</v>
          </cell>
          <cell r="G1232">
            <v>1744</v>
          </cell>
          <cell r="H1232">
            <v>43194</v>
          </cell>
          <cell r="I1232" t="str">
            <v>AYUDA TEMPORAL A LAS FAMILIAS DE VARIAS LOCALIDADES, PARA LA RELOCALIZACIÓN DE HOGARES LOCALIZADOS EN ZONAS DE ALTO RIESGO NO MITIGABLE ID:2012-3-14353, LOCALIDAD:03 SANTA FE, UPZ:96 LOURDES, SECTOR:</v>
          </cell>
          <cell r="J1232">
            <v>4989600</v>
          </cell>
          <cell r="K1232">
            <v>0</v>
          </cell>
          <cell r="L1232">
            <v>4989600</v>
          </cell>
          <cell r="M1232">
            <v>554400</v>
          </cell>
          <cell r="N1232">
            <v>4435200</v>
          </cell>
        </row>
        <row r="1233">
          <cell r="A1233">
            <v>649</v>
          </cell>
          <cell r="B1233">
            <v>1672</v>
          </cell>
          <cell r="C1233">
            <v>43194</v>
          </cell>
          <cell r="D1233" t="str">
            <v>FLORICELDA  CHIRIPUA CHAMAPURO</v>
          </cell>
          <cell r="E1233">
            <v>31</v>
          </cell>
          <cell r="F1233" t="str">
            <v>RESOLUCION</v>
          </cell>
          <cell r="G1233">
            <v>1742</v>
          </cell>
          <cell r="H1233">
            <v>43194</v>
          </cell>
          <cell r="I1233" t="str">
            <v>AYUDA TEMPORAL A LAS FAMILIAS DE VARIAS LOCALIDADES, PARA LA RELOCALIZACIÓN DE HOGARES LOCALIZADOS EN ZONAS DE ALTO RIESGO NO MITIGABLE ID:2014-W166-060, LOCALIDAD:19 CIUDAD BOLÍVAR, UPZ:68 EL TESORO, SECTOR:WOUNAAN</v>
          </cell>
          <cell r="J1233">
            <v>4581225</v>
          </cell>
          <cell r="K1233">
            <v>0</v>
          </cell>
          <cell r="L1233">
            <v>4581225</v>
          </cell>
          <cell r="M1233">
            <v>509025</v>
          </cell>
          <cell r="N1233">
            <v>4072200</v>
          </cell>
        </row>
        <row r="1234">
          <cell r="A1234">
            <v>649</v>
          </cell>
          <cell r="B1234">
            <v>1673</v>
          </cell>
          <cell r="C1234">
            <v>43194</v>
          </cell>
          <cell r="D1234" t="str">
            <v>ANA LUCIA CHIRIPUA DONISABE</v>
          </cell>
          <cell r="E1234">
            <v>31</v>
          </cell>
          <cell r="F1234" t="str">
            <v>RESOLUCION</v>
          </cell>
          <cell r="G1234">
            <v>1741</v>
          </cell>
          <cell r="H1234">
            <v>43194</v>
          </cell>
          <cell r="I1234" t="str">
            <v>AYUDA TEMPORAL A LAS FAMILIAS DE VARIAS LOCALIDADES, PARA LA RELOCALIZACIÓN DE HOGARES LOCALIZADOS EN ZONAS DE ALTO RIESGO NO MITIGABLE ID:2015-W166-518, LOCALIDAD:19 CIUDAD BOLÍVAR, UPZ:67 LUCERO, SECTOR:WOUNAAN</v>
          </cell>
          <cell r="J1234">
            <v>5219100</v>
          </cell>
          <cell r="K1234">
            <v>0</v>
          </cell>
          <cell r="L1234">
            <v>5219100</v>
          </cell>
          <cell r="M1234">
            <v>579900</v>
          </cell>
          <cell r="N1234">
            <v>4639200</v>
          </cell>
        </row>
        <row r="1235">
          <cell r="A1235">
            <v>649</v>
          </cell>
          <cell r="B1235">
            <v>1674</v>
          </cell>
          <cell r="C1235">
            <v>43194</v>
          </cell>
          <cell r="D1235" t="str">
            <v>ROBERT  ISMARE PUCHICAMA</v>
          </cell>
          <cell r="E1235">
            <v>31</v>
          </cell>
          <cell r="F1235" t="str">
            <v>RESOLUCION</v>
          </cell>
          <cell r="G1235">
            <v>1740</v>
          </cell>
          <cell r="H1235">
            <v>43194</v>
          </cell>
          <cell r="I1235" t="str">
            <v>AYUDA TEMPORAL A LAS FAMILIAS DE VARIAS LOCALIDADES, PARA LA RELOCALIZACIÓN DE HOGARES LOCALIZADOS EN ZONAS DE ALTO RIESGO NO MITIGABLE ID:2014-W166-087, LOCALIDAD:19 CIUDAD BOLÍVAR, UPZ:68 EL TESORO, SECTOR:WOUNAAN</v>
          </cell>
          <cell r="J1235">
            <v>6491914</v>
          </cell>
          <cell r="K1235">
            <v>0</v>
          </cell>
          <cell r="L1235">
            <v>6491914</v>
          </cell>
          <cell r="M1235">
            <v>590174</v>
          </cell>
          <cell r="N1235">
            <v>5901740</v>
          </cell>
        </row>
        <row r="1236">
          <cell r="A1236">
            <v>649</v>
          </cell>
          <cell r="B1236">
            <v>1675</v>
          </cell>
          <cell r="C1236">
            <v>43194</v>
          </cell>
          <cell r="D1236" t="str">
            <v>PEDRO  GOMEZ ACHURY</v>
          </cell>
          <cell r="E1236">
            <v>31</v>
          </cell>
          <cell r="F1236" t="str">
            <v>RESOLUCION</v>
          </cell>
          <cell r="G1236">
            <v>1739</v>
          </cell>
          <cell r="H1236">
            <v>43194</v>
          </cell>
          <cell r="I1236" t="str">
            <v>AYUDA TEMPORAL A LAS FAMILIAS DE VARIAS LOCALIDADES, PARA LA RELOCALIZACIÓN DE HOGARES LOCALIZADOS EN ZONAS DE ALTO RIESGO NO MITIGABLE ID:2015-Q20-01413, LOCALIDAD:04 SAN CRISTÓBAL, UPZ:50 LA GLORIA, SECTOR:LA CHIGUAZA</v>
          </cell>
          <cell r="J1236">
            <v>4570263</v>
          </cell>
          <cell r="K1236">
            <v>0</v>
          </cell>
          <cell r="L1236">
            <v>4570263</v>
          </cell>
          <cell r="M1236">
            <v>507807</v>
          </cell>
          <cell r="N1236">
            <v>4062456</v>
          </cell>
        </row>
        <row r="1237">
          <cell r="A1237">
            <v>649</v>
          </cell>
          <cell r="B1237">
            <v>1676</v>
          </cell>
          <cell r="C1237">
            <v>43194</v>
          </cell>
          <cell r="D1237" t="str">
            <v>MODESTO  GARCIA CHIRIMIA</v>
          </cell>
          <cell r="E1237">
            <v>31</v>
          </cell>
          <cell r="F1237" t="str">
            <v>RESOLUCION</v>
          </cell>
          <cell r="G1237">
            <v>1738</v>
          </cell>
          <cell r="H1237">
            <v>43194</v>
          </cell>
          <cell r="I1237" t="str">
            <v>AYUDA TEMPORAL A LAS FAMILIAS DE VARIAS LOCALIDADES, PARA LA RELOCALIZACIÓN DE HOGARES LOCALIZADOS EN ZONAS DE ALTO RIESGO NO MITIGABLE ID:2014-W166-081, LOCALIDAD:19 CIUDAD BOLÍVAR, UPZ:68 EL TESORO, SECTOR:WOUNAAN</v>
          </cell>
          <cell r="J1237">
            <v>5532880</v>
          </cell>
          <cell r="K1237">
            <v>0</v>
          </cell>
          <cell r="L1237">
            <v>5532880</v>
          </cell>
          <cell r="M1237">
            <v>553288</v>
          </cell>
          <cell r="N1237">
            <v>4979592</v>
          </cell>
        </row>
        <row r="1238">
          <cell r="A1238">
            <v>649</v>
          </cell>
          <cell r="B1238">
            <v>1677</v>
          </cell>
          <cell r="C1238">
            <v>43194</v>
          </cell>
          <cell r="D1238" t="str">
            <v>JANIOS ALPIDIO MARQUEZ SUEROKE</v>
          </cell>
          <cell r="E1238">
            <v>31</v>
          </cell>
          <cell r="F1238" t="str">
            <v>RESOLUCION</v>
          </cell>
          <cell r="G1238">
            <v>1737</v>
          </cell>
          <cell r="H1238">
            <v>43194</v>
          </cell>
          <cell r="I1238" t="str">
            <v>AYUDA TEMPORAL A LAS FAMILIAS DE VARIAS LOCALIDADES, PARA LA RELOCALIZACIÓN DE HOGARES LOCALIZADOS EN ZONAS DE ALTO RIESGO NO MITIGABLE ID:2015-W166-410, LOCALIDAD:04 SAN CRISTÓBAL, UPZ:32 SAN BLAS, SECTOR:UITOTO</v>
          </cell>
          <cell r="J1238">
            <v>5311560</v>
          </cell>
          <cell r="K1238">
            <v>0</v>
          </cell>
          <cell r="L1238">
            <v>5311560</v>
          </cell>
          <cell r="M1238">
            <v>531156</v>
          </cell>
          <cell r="N1238">
            <v>4780404</v>
          </cell>
        </row>
        <row r="1239">
          <cell r="A1239">
            <v>649</v>
          </cell>
          <cell r="B1239">
            <v>1678</v>
          </cell>
          <cell r="C1239">
            <v>43194</v>
          </cell>
          <cell r="D1239" t="str">
            <v>ESTEBAN  CHIRIMIA DURA</v>
          </cell>
          <cell r="E1239">
            <v>31</v>
          </cell>
          <cell r="F1239" t="str">
            <v>RESOLUCION</v>
          </cell>
          <cell r="G1239">
            <v>1736</v>
          </cell>
          <cell r="H1239">
            <v>43194</v>
          </cell>
          <cell r="I1239" t="str">
            <v>AYUDA TEMPORAL A LAS FAMILIAS DE VARIAS LOCALIDADES, PARA LA RELOCALIZACIÓN DE HOGARES LOCALIZADOS EN ZONAS DE ALTO RIESGO NO MITIGABLE ID:2015-W166-210, LOCALIDAD:04 SAN CRISTÓBAL, UPZ:33 SOSIEGO, SECTOR:EPERARA</v>
          </cell>
          <cell r="J1239">
            <v>3629568</v>
          </cell>
          <cell r="K1239">
            <v>0</v>
          </cell>
          <cell r="L1239">
            <v>3629568</v>
          </cell>
          <cell r="M1239">
            <v>604928</v>
          </cell>
          <cell r="N1239">
            <v>3024640</v>
          </cell>
        </row>
        <row r="1240">
          <cell r="A1240">
            <v>649</v>
          </cell>
          <cell r="B1240">
            <v>1679</v>
          </cell>
          <cell r="C1240">
            <v>43194</v>
          </cell>
          <cell r="D1240" t="str">
            <v>ELVIRA  CORZO DE GALEANO</v>
          </cell>
          <cell r="E1240">
            <v>31</v>
          </cell>
          <cell r="F1240" t="str">
            <v>RESOLUCION</v>
          </cell>
          <cell r="G1240">
            <v>1735</v>
          </cell>
          <cell r="H1240">
            <v>43194</v>
          </cell>
          <cell r="I1240" t="str">
            <v>AYUDA TEMPORAL A LAS FAMILIAS DE VARIAS LOCALIDADES, PARA LA RELOCALIZACIÓN DE HOGARES LOCALIZADOS EN ZONAS DE ALTO RIESGO NO MITIGABLE ID:2014-Q07-00919, LOCALIDAD:19 CIUDAD BOLÍVAR, UPZ:68 EL TESORO, SECTOR:QUEBRADA GALINDO</v>
          </cell>
          <cell r="J1240">
            <v>1534452</v>
          </cell>
          <cell r="K1240">
            <v>0</v>
          </cell>
          <cell r="L1240">
            <v>1534452</v>
          </cell>
          <cell r="M1240">
            <v>383613</v>
          </cell>
          <cell r="N1240">
            <v>1150839</v>
          </cell>
        </row>
        <row r="1241">
          <cell r="A1241">
            <v>649</v>
          </cell>
          <cell r="B1241">
            <v>1680</v>
          </cell>
          <cell r="C1241">
            <v>43194</v>
          </cell>
          <cell r="D1241" t="str">
            <v>LEOPOLDINA  CHIRIPUA DURA</v>
          </cell>
          <cell r="E1241">
            <v>31</v>
          </cell>
          <cell r="F1241" t="str">
            <v>RESOLUCION</v>
          </cell>
          <cell r="G1241">
            <v>1734</v>
          </cell>
          <cell r="H1241">
            <v>43194</v>
          </cell>
          <cell r="I1241" t="str">
            <v>AYUDA TEMPORAL A LAS FAMILIAS DE VARIAS LOCALIDADES, PARA LA RELOCALIZACIÓN DE HOGARES LOCALIZADOS EN ZONAS DE ALTO RIESGO NO MITIGABLE ID:2015-W166-515, LOCALIDAD:19 CIUDAD BOLÍVAR, UPZ:67 LUCERO, SECTOR:WOUNAAN</v>
          </cell>
          <cell r="J1241">
            <v>4131218</v>
          </cell>
          <cell r="K1241">
            <v>0</v>
          </cell>
          <cell r="L1241">
            <v>4131218</v>
          </cell>
          <cell r="M1241">
            <v>590174</v>
          </cell>
          <cell r="N1241">
            <v>3541044</v>
          </cell>
        </row>
        <row r="1242">
          <cell r="A1242">
            <v>649</v>
          </cell>
          <cell r="B1242">
            <v>1681</v>
          </cell>
          <cell r="C1242">
            <v>43194</v>
          </cell>
          <cell r="D1242" t="str">
            <v>JHON LEWIS CHICHILIANO PEÑA</v>
          </cell>
          <cell r="E1242">
            <v>31</v>
          </cell>
          <cell r="F1242" t="str">
            <v>RESOLUCION</v>
          </cell>
          <cell r="G1242">
            <v>1733</v>
          </cell>
          <cell r="H1242">
            <v>43194</v>
          </cell>
          <cell r="I1242" t="str">
            <v>AYUDA TEMPORAL A LAS FAMILIAS DE VARIAS LOCALIDADES, PARA LA RELOCALIZACIÓN DE HOGARES LOCALIZADOS EN ZONAS DE ALTO RIESGO NO MITIGABLE ID:2014-W166-069, LOCALIDAD:19 CIUDAD BOLÍVAR, UPZ:68 EL TESORO, SECTOR:WOUNAAN</v>
          </cell>
          <cell r="J1242">
            <v>4027933</v>
          </cell>
          <cell r="K1242">
            <v>0</v>
          </cell>
          <cell r="L1242">
            <v>4027933</v>
          </cell>
          <cell r="M1242">
            <v>575419</v>
          </cell>
          <cell r="N1242">
            <v>3452514</v>
          </cell>
        </row>
        <row r="1243">
          <cell r="A1243">
            <v>649</v>
          </cell>
          <cell r="B1243">
            <v>1682</v>
          </cell>
          <cell r="C1243">
            <v>43194</v>
          </cell>
          <cell r="D1243" t="str">
            <v>MARIA LEONISA MERCAZA CHIRIPUA</v>
          </cell>
          <cell r="E1243">
            <v>31</v>
          </cell>
          <cell r="F1243" t="str">
            <v>RESOLUCION</v>
          </cell>
          <cell r="G1243">
            <v>1732</v>
          </cell>
          <cell r="H1243">
            <v>43194</v>
          </cell>
          <cell r="I1243" t="str">
            <v>AYUDA TEMPORAL A LAS FAMILIAS DE VARIAS LOCALIDADES, PARA LA RELOCALIZACIÓN DE HOGARES LOCALIZADOS EN ZONAS DE ALTO RIESGO NO MITIGABLE ID:2015-W166-533, LOCALIDAD:19 CIUDAD BOLÍVAR, UPZ:67 LUCERO, SECTOR:WOUNAAN</v>
          </cell>
          <cell r="J1243">
            <v>5112378</v>
          </cell>
          <cell r="K1243">
            <v>0</v>
          </cell>
          <cell r="L1243">
            <v>5112378</v>
          </cell>
          <cell r="M1243">
            <v>568042</v>
          </cell>
          <cell r="N1243">
            <v>4544336</v>
          </cell>
        </row>
        <row r="1244">
          <cell r="A1244">
            <v>649</v>
          </cell>
          <cell r="B1244">
            <v>1683</v>
          </cell>
          <cell r="C1244">
            <v>43194</v>
          </cell>
          <cell r="D1244" t="str">
            <v>BLANCA LILIANA MELO RAMOS</v>
          </cell>
          <cell r="E1244">
            <v>31</v>
          </cell>
          <cell r="F1244" t="str">
            <v>RESOLUCION</v>
          </cell>
          <cell r="G1244">
            <v>1731</v>
          </cell>
          <cell r="H1244">
            <v>43194</v>
          </cell>
          <cell r="I1244" t="str">
            <v>AYUDA TEMPORAL A LAS FAMILIAS DE VARIAS LOCALIDADES, PARA LA RELOCALIZACIÓN DE HOGARES LOCALIZADOS EN ZONAS DE ALTO RIESGO NO MITIGABLE ID:2011-4-12714, LOCALIDAD:04 SAN CRISTÓBAL, UPZ:32 SAN BLAS</v>
          </cell>
          <cell r="J1244">
            <v>6283186</v>
          </cell>
          <cell r="K1244">
            <v>0</v>
          </cell>
          <cell r="L1244">
            <v>6283186</v>
          </cell>
          <cell r="M1244">
            <v>1449966</v>
          </cell>
          <cell r="N1244">
            <v>4833220</v>
          </cell>
        </row>
        <row r="1245">
          <cell r="A1245">
            <v>649</v>
          </cell>
          <cell r="B1245">
            <v>1684</v>
          </cell>
          <cell r="C1245">
            <v>43194</v>
          </cell>
          <cell r="D1245" t="str">
            <v>RUVIELA  JAIMES CARBAJAL</v>
          </cell>
          <cell r="E1245">
            <v>31</v>
          </cell>
          <cell r="F1245" t="str">
            <v>RESOLUCION</v>
          </cell>
          <cell r="G1245">
            <v>1684</v>
          </cell>
          <cell r="H1245">
            <v>43194</v>
          </cell>
          <cell r="I1245" t="str">
            <v>AYUDA TEMPORAL A LAS FAMILIAS DE VARIAS LOCALIDADES, PARA LA RELOCALIZACIÓN DE HOGARES LOCALIZADOS EN ZONAS DE ALTO RIESGO NO MITIGABLE ID:2012-ALES-211, LOCALIDAD:19 CIUDAD BOLÍVAR, UPZ:69 ISMAEL PERDOMO, SECTOR:ALTOS DE LA ESTANCIA</v>
          </cell>
          <cell r="J1245">
            <v>5164020</v>
          </cell>
          <cell r="K1245">
            <v>0</v>
          </cell>
          <cell r="L1245">
            <v>5164020</v>
          </cell>
          <cell r="M1245">
            <v>516402</v>
          </cell>
          <cell r="N1245">
            <v>4647618</v>
          </cell>
        </row>
        <row r="1246">
          <cell r="A1246">
            <v>649</v>
          </cell>
          <cell r="B1246">
            <v>1685</v>
          </cell>
          <cell r="C1246">
            <v>43194</v>
          </cell>
          <cell r="D1246" t="str">
            <v>DAVID  MOÑA ISMARE</v>
          </cell>
          <cell r="E1246">
            <v>31</v>
          </cell>
          <cell r="F1246" t="str">
            <v>RESOLUCION</v>
          </cell>
          <cell r="G1246">
            <v>1683</v>
          </cell>
          <cell r="H1246">
            <v>43194</v>
          </cell>
          <cell r="I1246" t="str">
            <v>AYUDA TEMPORAL A LAS FAMILIAS DE VARIAS LOCALIDADES, PARA LA RELOCALIZACIÓN DE HOGARES LOCALIZADOS EN ZONAS DE ALTO RIESGO NO MITIGABLE ID:2015-W166-415, LOCALIDAD:19 CIUDAD BOLÍVAR, UPZ:67 LUCERO, SECTOR:WOUNAAN</v>
          </cell>
          <cell r="J1246">
            <v>4871376</v>
          </cell>
          <cell r="K1246">
            <v>0</v>
          </cell>
          <cell r="L1246">
            <v>4871376</v>
          </cell>
          <cell r="M1246">
            <v>541264</v>
          </cell>
          <cell r="N1246">
            <v>4330112</v>
          </cell>
        </row>
        <row r="1247">
          <cell r="A1247">
            <v>649</v>
          </cell>
          <cell r="B1247">
            <v>1686</v>
          </cell>
          <cell r="C1247">
            <v>43194</v>
          </cell>
          <cell r="D1247" t="str">
            <v>SILVIO  MOYA OPUA</v>
          </cell>
          <cell r="E1247">
            <v>31</v>
          </cell>
          <cell r="F1247" t="str">
            <v>RESOLUCION</v>
          </cell>
          <cell r="G1247">
            <v>1682</v>
          </cell>
          <cell r="H1247">
            <v>43194</v>
          </cell>
          <cell r="I1247" t="str">
            <v>AYUDA TEMPORAL A LAS FAMILIAS DE VARIAS LOCALIDADES, PARA LA RELOCALIZACIÓN DE HOGARES LOCALIZADOS EN ZONAS DE ALTO RIESGO NO MITIGABLE ID:2014-W166-092, LOCALIDAD:19 CIUDAD BOLÍVAR, UPZ:68 EL TESORO, SECTOR:WOUNAAN</v>
          </cell>
          <cell r="J1247">
            <v>4780404</v>
          </cell>
          <cell r="K1247">
            <v>0</v>
          </cell>
          <cell r="L1247">
            <v>4780404</v>
          </cell>
          <cell r="M1247">
            <v>531156</v>
          </cell>
          <cell r="N1247">
            <v>4249248</v>
          </cell>
        </row>
        <row r="1248">
          <cell r="A1248">
            <v>649</v>
          </cell>
          <cell r="B1248">
            <v>1687</v>
          </cell>
          <cell r="C1248">
            <v>43194</v>
          </cell>
          <cell r="D1248" t="str">
            <v>YENNY  CHAMAPURO CHIRIMIA</v>
          </cell>
          <cell r="E1248">
            <v>31</v>
          </cell>
          <cell r="F1248" t="str">
            <v>RESOLUCION</v>
          </cell>
          <cell r="G1248">
            <v>1681</v>
          </cell>
          <cell r="H1248">
            <v>43194</v>
          </cell>
          <cell r="I1248" t="str">
            <v>AYUDA TEMPORAL A LAS FAMILIAS DE VARIAS LOCALIDADES, PARA LA RELOCALIZACIÓN DE HOGARES LOCALIZADOS EN ZONAS DE ALTO RIESGO NO MITIGABLE ID:2015-W166-437, LOCALIDAD:19 CIUDAD BOLÍVAR, UPZ:68 EL TESORO, SECTOR:WOUNAAN</v>
          </cell>
          <cell r="J1248">
            <v>4871376</v>
          </cell>
          <cell r="K1248">
            <v>0</v>
          </cell>
          <cell r="L1248">
            <v>4871376</v>
          </cell>
          <cell r="M1248">
            <v>541264</v>
          </cell>
          <cell r="N1248">
            <v>4330112</v>
          </cell>
        </row>
        <row r="1249">
          <cell r="A1249">
            <v>649</v>
          </cell>
          <cell r="B1249">
            <v>1688</v>
          </cell>
          <cell r="C1249">
            <v>43194</v>
          </cell>
          <cell r="D1249" t="str">
            <v>RIGOBERTO  BALAGUER CAICEDO</v>
          </cell>
          <cell r="E1249">
            <v>31</v>
          </cell>
          <cell r="F1249" t="str">
            <v>RESOLUCION</v>
          </cell>
          <cell r="G1249">
            <v>1680</v>
          </cell>
          <cell r="H1249">
            <v>43194</v>
          </cell>
          <cell r="I1249" t="str">
            <v>AYUDA TEMPORAL A LAS FAMILIAS DE VARIAS LOCALIDADES, PARA LA RELOCALIZACIÓN DE HOGARES LOCALIZADOS EN ZONAS DE ALTO RIESGO NO MITIGABLE ID:2012-19-14581, LOCALIDAD:19 CIUDAD BOLÍVAR, UPZ:68 EL TESORO, SECTOR:QUEBRADA TROMPETA</v>
          </cell>
          <cell r="J1249">
            <v>3098410</v>
          </cell>
          <cell r="K1249">
            <v>0</v>
          </cell>
          <cell r="L1249">
            <v>3098410</v>
          </cell>
          <cell r="M1249">
            <v>442630</v>
          </cell>
          <cell r="N1249">
            <v>2655780</v>
          </cell>
        </row>
        <row r="1250">
          <cell r="A1250">
            <v>649</v>
          </cell>
          <cell r="B1250">
            <v>1689</v>
          </cell>
          <cell r="C1250">
            <v>43194</v>
          </cell>
          <cell r="D1250" t="str">
            <v>MISAEL  MOCHO NEGRIA</v>
          </cell>
          <cell r="E1250">
            <v>31</v>
          </cell>
          <cell r="F1250" t="str">
            <v>RESOLUCION</v>
          </cell>
          <cell r="G1250">
            <v>1679</v>
          </cell>
          <cell r="H1250">
            <v>43194</v>
          </cell>
          <cell r="I1250" t="str">
            <v>AYUDA TEMPORAL A LAS FAMILIAS DE VARIAS LOCALIDADES, PARA LA RELOCALIZACIÓN DE HOGARES LOCALIZADOS EN ZONAS DE ALTO RIESGO NO MITIGABLE ID:2015-W166-529, LOCALIDAD:19 CIUDAD BOLÍVAR, UPZ:67 LUCERO, SECTOR:WOUNAAN</v>
          </cell>
          <cell r="J1250">
            <v>7192744</v>
          </cell>
          <cell r="K1250">
            <v>0</v>
          </cell>
          <cell r="L1250">
            <v>7192744</v>
          </cell>
          <cell r="M1250">
            <v>553288</v>
          </cell>
          <cell r="N1250">
            <v>6639456</v>
          </cell>
        </row>
        <row r="1251">
          <cell r="A1251">
            <v>649</v>
          </cell>
          <cell r="B1251">
            <v>1690</v>
          </cell>
          <cell r="C1251">
            <v>43194</v>
          </cell>
          <cell r="D1251" t="str">
            <v>DAWILIO  DURA ISMARE</v>
          </cell>
          <cell r="E1251">
            <v>31</v>
          </cell>
          <cell r="F1251" t="str">
            <v>RESOLUCION</v>
          </cell>
          <cell r="G1251">
            <v>1678</v>
          </cell>
          <cell r="H1251">
            <v>43194</v>
          </cell>
          <cell r="I1251" t="str">
            <v>AYUDA TEMPORAL A LAS FAMILIAS DE VARIAS LOCALIDADES, PARA LA RELOCALIZACIÓN DE HOGARES LOCALIZADOS EN ZONAS DE ALTO RIESGO NO MITIGABLE ID:2015-W166-432, LOCALIDAD:19 CIUDAD BOLÍVAR, UPZ:67 LUCERO, SECTOR:WOUNAAN</v>
          </cell>
          <cell r="J1251">
            <v>6905028</v>
          </cell>
          <cell r="K1251">
            <v>0</v>
          </cell>
          <cell r="L1251">
            <v>6905028</v>
          </cell>
          <cell r="M1251">
            <v>531156</v>
          </cell>
          <cell r="N1251">
            <v>6373872</v>
          </cell>
        </row>
        <row r="1252">
          <cell r="A1252">
            <v>649</v>
          </cell>
          <cell r="B1252">
            <v>1691</v>
          </cell>
          <cell r="C1252">
            <v>43194</v>
          </cell>
          <cell r="D1252" t="str">
            <v>LUZ MARLEN URREGO RODRIGUEZ</v>
          </cell>
          <cell r="E1252">
            <v>31</v>
          </cell>
          <cell r="F1252" t="str">
            <v>RESOLUCION</v>
          </cell>
          <cell r="G1252">
            <v>1677</v>
          </cell>
          <cell r="H1252">
            <v>43194</v>
          </cell>
          <cell r="I1252" t="str">
            <v>AYUDA TEMPORAL A LAS FAMILIAS DE VARIAS LOCALIDADES, PARA LA RELOCALIZACIÓN DE HOGARES LOCALIZADOS EN ZONAS DE ALTO RIESGO NO MITIGABLE ID:2015-5-14740, LOCALIDAD:05 USME, UPZ:56 DANUBIO,</v>
          </cell>
          <cell r="J1252">
            <v>6279000</v>
          </cell>
          <cell r="K1252">
            <v>0</v>
          </cell>
          <cell r="L1252">
            <v>6279000</v>
          </cell>
          <cell r="M1252">
            <v>483000</v>
          </cell>
          <cell r="N1252">
            <v>5796000</v>
          </cell>
        </row>
        <row r="1253">
          <cell r="A1253">
            <v>649</v>
          </cell>
          <cell r="B1253">
            <v>1692</v>
          </cell>
          <cell r="C1253">
            <v>43194</v>
          </cell>
          <cell r="D1253" t="str">
            <v>VIRGILIO  PUAMA MEMBACHE</v>
          </cell>
          <cell r="E1253">
            <v>31</v>
          </cell>
          <cell r="F1253" t="str">
            <v>RESOLUCION</v>
          </cell>
          <cell r="G1253">
            <v>1676</v>
          </cell>
          <cell r="H1253">
            <v>43194</v>
          </cell>
          <cell r="I1253" t="str">
            <v>AYUDA TEMPORAL A LAS FAMILIAS DE VARIAS LOCALIDADES, PARA LA RELOCALIZACIÓN DE HOGARES LOCALIZADOS EN ZONAS DE ALTO RIESGO NO MITIGABLE ID:2015-W166-517, LOCALIDAD:19 CIUDAD BOLÍVAR, UPZ:67 LUCERO, SECTOR:WOUNAAN</v>
          </cell>
          <cell r="J1253">
            <v>5360745</v>
          </cell>
          <cell r="K1253">
            <v>0</v>
          </cell>
          <cell r="L1253">
            <v>5360745</v>
          </cell>
          <cell r="M1253">
            <v>412365</v>
          </cell>
          <cell r="N1253">
            <v>4948380</v>
          </cell>
        </row>
        <row r="1254">
          <cell r="A1254">
            <v>649</v>
          </cell>
          <cell r="B1254">
            <v>1693</v>
          </cell>
          <cell r="C1254">
            <v>43194</v>
          </cell>
          <cell r="D1254" t="str">
            <v>MIRNA ELISA VALENCIA PERTIAGA</v>
          </cell>
          <cell r="E1254">
            <v>31</v>
          </cell>
          <cell r="F1254" t="str">
            <v>RESOLUCION</v>
          </cell>
          <cell r="G1254">
            <v>1675</v>
          </cell>
          <cell r="H1254">
            <v>43194</v>
          </cell>
          <cell r="I1254" t="str">
            <v>AYUDA TEMPORAL A LAS FAMILIAS DE VARIAS LOCALIDADES, PARA LA RELOCALIZACIÓN DE HOGARES LOCALIZADOS EN ZONAS DE ALTO RIESGO NO MITIGABLE ID:2015-W166-509, LOCALIDAD:04 SAN CRISTÓBAL, UPZ:34 20 DE JULIO, SECTOR:EPERARA</v>
          </cell>
          <cell r="J1254">
            <v>4780404</v>
          </cell>
          <cell r="K1254">
            <v>0</v>
          </cell>
          <cell r="L1254">
            <v>4780404</v>
          </cell>
          <cell r="M1254">
            <v>531156</v>
          </cell>
          <cell r="N1254">
            <v>4249248</v>
          </cell>
        </row>
        <row r="1255">
          <cell r="A1255">
            <v>649</v>
          </cell>
          <cell r="B1255">
            <v>1694</v>
          </cell>
          <cell r="C1255">
            <v>43194</v>
          </cell>
          <cell r="D1255" t="str">
            <v>RENE  PIZARE MALAGA</v>
          </cell>
          <cell r="E1255">
            <v>31</v>
          </cell>
          <cell r="F1255" t="str">
            <v>RESOLUCION</v>
          </cell>
          <cell r="G1255">
            <v>1674</v>
          </cell>
          <cell r="H1255">
            <v>43194</v>
          </cell>
          <cell r="I1255" t="str">
            <v>AYUDA TEMPORAL A LAS FAMILIAS DE VARIAS LOCALIDADES, PARA LA RELOCALIZACIÓN DE HOGARES LOCALIZADOS EN ZONAS DE ALTO RIESGO NO MITIGABLE ID:2015-W166-201, LOCALIDAD:04 SAN CRISTÓBAL, UPZ:33 SOSIEGO, SECTOR:EPERARA</v>
          </cell>
          <cell r="J1255">
            <v>4979592</v>
          </cell>
          <cell r="K1255">
            <v>0</v>
          </cell>
          <cell r="L1255">
            <v>4979592</v>
          </cell>
          <cell r="M1255">
            <v>553288</v>
          </cell>
          <cell r="N1255">
            <v>4426304</v>
          </cell>
        </row>
        <row r="1256">
          <cell r="A1256">
            <v>649</v>
          </cell>
          <cell r="B1256">
            <v>1695</v>
          </cell>
          <cell r="C1256">
            <v>43195</v>
          </cell>
          <cell r="D1256" t="str">
            <v>ELBER ANTONIO ISMARE DURA</v>
          </cell>
          <cell r="E1256">
            <v>31</v>
          </cell>
          <cell r="F1256" t="str">
            <v>RESOLUCION</v>
          </cell>
          <cell r="G1256">
            <v>1673</v>
          </cell>
          <cell r="H1256">
            <v>43195</v>
          </cell>
          <cell r="I1256" t="str">
            <v>AYUDA TEMPORAL A LAS FAMILIAS DE VARIAS LOCALIDADES, PARA LA RELOCALIZACIÓN DE HOGARES LOCALIZADOS EN ZONAS DE ALTO RIESGO NO MITIGABLE ID:2015-W166-213, LOCALIDAD:04 SAN CRISTÓBAL, UPZ:33 SOSIEGO, SECTOR:EPERARA</v>
          </cell>
          <cell r="J1256">
            <v>4647618</v>
          </cell>
          <cell r="K1256">
            <v>0</v>
          </cell>
          <cell r="L1256">
            <v>4647618</v>
          </cell>
          <cell r="M1256">
            <v>516402</v>
          </cell>
          <cell r="N1256">
            <v>4131216</v>
          </cell>
        </row>
        <row r="1257">
          <cell r="A1257">
            <v>649</v>
          </cell>
          <cell r="B1257">
            <v>1696</v>
          </cell>
          <cell r="C1257">
            <v>43195</v>
          </cell>
          <cell r="D1257" t="str">
            <v>NISON HARIEL CHAUCARAMA GUACORIZO</v>
          </cell>
          <cell r="E1257">
            <v>31</v>
          </cell>
          <cell r="F1257" t="str">
            <v>RESOLUCION</v>
          </cell>
          <cell r="G1257">
            <v>1672</v>
          </cell>
          <cell r="H1257">
            <v>43195</v>
          </cell>
          <cell r="I1257" t="str">
            <v>AYUDA TEMPORAL A LAS FAMILIAS DE VARIAS LOCALIDADES, PARA LA RELOCALIZACIÓN DE HOGARES LOCALIZADOS EN ZONAS DE ALTO RIESGO NO MITIGABLE ID:2014-W166-083, LOCALIDAD:19 CIUDAD BOLÍVAR, UPZ:68 EL TESORO, SECTOR:WOUNAAN</v>
          </cell>
          <cell r="J1257">
            <v>3515589</v>
          </cell>
          <cell r="K1257">
            <v>0</v>
          </cell>
          <cell r="L1257">
            <v>3515589</v>
          </cell>
          <cell r="M1257">
            <v>390621</v>
          </cell>
          <cell r="N1257">
            <v>3124968</v>
          </cell>
        </row>
        <row r="1258">
          <cell r="A1258">
            <v>649</v>
          </cell>
          <cell r="B1258">
            <v>1697</v>
          </cell>
          <cell r="C1258">
            <v>43195</v>
          </cell>
          <cell r="D1258" t="str">
            <v>YONNY LESI OSORIO SARCO</v>
          </cell>
          <cell r="E1258">
            <v>31</v>
          </cell>
          <cell r="F1258" t="str">
            <v>RESOLUCION</v>
          </cell>
          <cell r="G1258">
            <v>1671</v>
          </cell>
          <cell r="H1258">
            <v>43195</v>
          </cell>
          <cell r="I1258" t="str">
            <v>AYUDA TEMPORAL A LAS FAMILIAS DE VARIAS LOCALIDADES, PARA LA RELOCALIZACIÓN DE HOGARES LOCALIZADOS EN ZONAS DE ALTO RIESGO NO MITIGABLE ID:2014-W166-097, LOCALIDAD:19 CIUDAD BOLÍVAR, UPZ:68 EL TESORO, SECTOR:WOUNAAN</v>
          </cell>
          <cell r="J1258">
            <v>4780404</v>
          </cell>
          <cell r="K1258">
            <v>0</v>
          </cell>
          <cell r="L1258">
            <v>4780404</v>
          </cell>
          <cell r="M1258">
            <v>531156</v>
          </cell>
          <cell r="N1258">
            <v>4249248</v>
          </cell>
        </row>
        <row r="1259">
          <cell r="A1259">
            <v>649</v>
          </cell>
          <cell r="B1259">
            <v>1698</v>
          </cell>
          <cell r="C1259">
            <v>43195</v>
          </cell>
          <cell r="D1259" t="str">
            <v>HENRY  MEJIA CUAMA</v>
          </cell>
          <cell r="E1259">
            <v>31</v>
          </cell>
          <cell r="F1259" t="str">
            <v>RESOLUCION</v>
          </cell>
          <cell r="G1259">
            <v>1670</v>
          </cell>
          <cell r="H1259">
            <v>43195</v>
          </cell>
          <cell r="I1259" t="str">
            <v>AYUDA TEMPORAL A LAS FAMILIAS DE VARIAS LOCALIDADES, PARA LA RELOCALIZACIÓN DE HOGARES LOCALIZADOS EN ZONAS DE ALTO RIESGO NO MITIGABLE ID:2015-W166-205, LOCALIDAD:04 SAN CRISTÓBAL, UPZ:33 SOSIEGO, SECTOR:EPERARA</v>
          </cell>
          <cell r="J1259">
            <v>4780404</v>
          </cell>
          <cell r="K1259">
            <v>0</v>
          </cell>
          <cell r="L1259">
            <v>4780404</v>
          </cell>
          <cell r="M1259">
            <v>531156</v>
          </cell>
          <cell r="N1259">
            <v>4249248</v>
          </cell>
        </row>
        <row r="1260">
          <cell r="A1260">
            <v>649</v>
          </cell>
          <cell r="B1260">
            <v>1699</v>
          </cell>
          <cell r="C1260">
            <v>43195</v>
          </cell>
          <cell r="D1260" t="str">
            <v>ELEYDA  CARDENAS MEMBACHE</v>
          </cell>
          <cell r="E1260">
            <v>31</v>
          </cell>
          <cell r="F1260" t="str">
            <v>RESOLUCION</v>
          </cell>
          <cell r="G1260">
            <v>1669</v>
          </cell>
          <cell r="H1260">
            <v>43195</v>
          </cell>
          <cell r="I1260" t="str">
            <v>AYUDA TEMPORAL A LAS FAMILIAS DE VARIAS LOCALIDADES, PARA LA RELOCALIZACIÓN DE HOGARES LOCALIZADOS EN ZONAS DE ALTO RIESGO NO MITIGABLE ID:2014-W166-054, LOCALIDAD:19 CIUDAD BOLÍVAR, UPZ:68 EL TESORO, SECTOR:WOUNAAN</v>
          </cell>
          <cell r="J1260">
            <v>5311566</v>
          </cell>
          <cell r="K1260">
            <v>0</v>
          </cell>
          <cell r="L1260">
            <v>5311566</v>
          </cell>
          <cell r="M1260">
            <v>590174</v>
          </cell>
          <cell r="N1260">
            <v>4721392</v>
          </cell>
        </row>
        <row r="1261">
          <cell r="A1261">
            <v>649</v>
          </cell>
          <cell r="B1261">
            <v>1700</v>
          </cell>
          <cell r="C1261">
            <v>43195</v>
          </cell>
          <cell r="D1261" t="str">
            <v>ALBEIRO  ORTIZ CHICHILIANO</v>
          </cell>
          <cell r="E1261">
            <v>31</v>
          </cell>
          <cell r="F1261" t="str">
            <v>RESOLUCION</v>
          </cell>
          <cell r="G1261">
            <v>1668</v>
          </cell>
          <cell r="H1261">
            <v>43195</v>
          </cell>
          <cell r="I1261" t="str">
            <v>AYUDA TEMPORAL A LAS FAMILIAS DE VARIAS LOCALIDADES, PARA LA RELOCALIZACIÓN DE HOGARES LOCALIZADOS EN ZONAS DE ALTO RIESGO NO MITIGABLE ID:2015-W166-418, LOCALIDAD:19 CIUDAD BOLÍVAR, UPZ:67 LUCERO, SECTOR:WOUNAAN</v>
          </cell>
          <cell r="J1261">
            <v>5335434</v>
          </cell>
          <cell r="K1261">
            <v>0</v>
          </cell>
          <cell r="L1261">
            <v>5335434</v>
          </cell>
          <cell r="M1261">
            <v>0</v>
          </cell>
          <cell r="N1261">
            <v>5335434</v>
          </cell>
        </row>
        <row r="1262">
          <cell r="A1262">
            <v>649</v>
          </cell>
          <cell r="B1262">
            <v>1701</v>
          </cell>
          <cell r="C1262">
            <v>43195</v>
          </cell>
          <cell r="D1262" t="str">
            <v>DORIS ELSA PIRAZA ISMARE</v>
          </cell>
          <cell r="E1262">
            <v>31</v>
          </cell>
          <cell r="F1262" t="str">
            <v>RESOLUCION</v>
          </cell>
          <cell r="G1262">
            <v>1667</v>
          </cell>
          <cell r="H1262">
            <v>43195</v>
          </cell>
          <cell r="I1262" t="str">
            <v>AYUDA TEMPORAL A LAS FAMILIAS DE VARIAS LOCALIDADES, PARA LA RELOCALIZACIÓN DE HOGARES LOCALIZADOS EN ZONAS DE ALTO RIESGO NO MITIGABLE ID:2014-W166-039, LOCALIDAD:19 CIUDAD BOLÍVAR, UPZ:68 EL TESORO, SECTOR:WOUNAAN</v>
          </cell>
          <cell r="J1262">
            <v>6491914</v>
          </cell>
          <cell r="K1262">
            <v>0</v>
          </cell>
          <cell r="L1262">
            <v>6491914</v>
          </cell>
          <cell r="M1262">
            <v>590174</v>
          </cell>
          <cell r="N1262">
            <v>5901740</v>
          </cell>
        </row>
        <row r="1263">
          <cell r="A1263">
            <v>649</v>
          </cell>
          <cell r="B1263">
            <v>1702</v>
          </cell>
          <cell r="C1263">
            <v>43195</v>
          </cell>
          <cell r="D1263" t="str">
            <v>ROSALBA  ATEHORTUA ARIAS</v>
          </cell>
          <cell r="E1263">
            <v>31</v>
          </cell>
          <cell r="F1263" t="str">
            <v>RESOLUCION</v>
          </cell>
          <cell r="G1263">
            <v>1666</v>
          </cell>
          <cell r="H1263">
            <v>43195</v>
          </cell>
          <cell r="I1263" t="str">
            <v>AYUDA TEMPORAL A LAS FAMILIAS DE VARIAS LOCALIDADES, PARA LA RELOCALIZACIÓN DE HOGARES LOCALIZADOS EN ZONAS DE ALTO RIESGO NO MITIGABLE ID:2013-5-14681, LOCALIDAD:05 USME, UPZ:57 GRAN YOMASA</v>
          </cell>
          <cell r="J1263">
            <v>5152170</v>
          </cell>
          <cell r="K1263">
            <v>0</v>
          </cell>
          <cell r="L1263">
            <v>5152170</v>
          </cell>
          <cell r="M1263">
            <v>515217</v>
          </cell>
          <cell r="N1263">
            <v>4636953</v>
          </cell>
        </row>
        <row r="1264">
          <cell r="A1264">
            <v>395</v>
          </cell>
          <cell r="B1264">
            <v>1703</v>
          </cell>
          <cell r="C1264">
            <v>43195</v>
          </cell>
          <cell r="D1264" t="str">
            <v>DEISY  PEGAISA OPUA</v>
          </cell>
          <cell r="E1264">
            <v>31</v>
          </cell>
          <cell r="F1264" t="str">
            <v>RESOLUCION</v>
          </cell>
          <cell r="G1264">
            <v>1665</v>
          </cell>
          <cell r="H1264">
            <v>43195</v>
          </cell>
          <cell r="I1264" t="str">
            <v>AYUDA TEMPORAL A LAS FAMILIAS DE VARIAS LOCALIDADES, PARA RELOCALIZACIÓN DE HOGARES LOCALIZADOS EN ZONAS DE ALTO RIESGO NO MITIGABLE ID:2014-W166-002, LOCALIDAD:19 CIUDAD BOLÍVAR, UPZ:67 LUCERO, SECTOR:WOUNAAN</v>
          </cell>
          <cell r="J1264">
            <v>3186936</v>
          </cell>
          <cell r="K1264">
            <v>0</v>
          </cell>
          <cell r="L1264">
            <v>3186936</v>
          </cell>
          <cell r="M1264">
            <v>531156</v>
          </cell>
          <cell r="N1264">
            <v>2655780</v>
          </cell>
        </row>
        <row r="1265">
          <cell r="A1265">
            <v>649</v>
          </cell>
          <cell r="B1265">
            <v>1704</v>
          </cell>
          <cell r="C1265">
            <v>43195</v>
          </cell>
          <cell r="D1265" t="str">
            <v>PAOLA ANDREA ATTAMA</v>
          </cell>
          <cell r="E1265">
            <v>31</v>
          </cell>
          <cell r="F1265" t="str">
            <v>RESOLUCION</v>
          </cell>
          <cell r="G1265">
            <v>1664</v>
          </cell>
          <cell r="H1265">
            <v>43195</v>
          </cell>
          <cell r="I1265" t="str">
            <v>AYUDA TEMPORAL A LAS FAMILIAS DE VARIAS LOCALIDADES, PARA LA RELOCALIZACIÓN DE HOGARES LOCALIZADOS EN ZONAS DE ALTO RIESGO NO MITIGABLE ID:2015-W166-406, LOCALIDAD:07 BOSA, UPZ:86 EL PORVENIR, SECTOR:UITOTO</v>
          </cell>
          <cell r="J1265">
            <v>4544336</v>
          </cell>
          <cell r="K1265">
            <v>0</v>
          </cell>
          <cell r="L1265">
            <v>4544336</v>
          </cell>
          <cell r="M1265">
            <v>568042</v>
          </cell>
          <cell r="N1265">
            <v>3976294</v>
          </cell>
        </row>
        <row r="1266">
          <cell r="A1266">
            <v>649</v>
          </cell>
          <cell r="B1266">
            <v>1705</v>
          </cell>
          <cell r="C1266">
            <v>43195</v>
          </cell>
          <cell r="D1266" t="str">
            <v>FLOR EDILMA GARZON BENITEZ</v>
          </cell>
          <cell r="E1266">
            <v>31</v>
          </cell>
          <cell r="F1266" t="str">
            <v>RESOLUCION</v>
          </cell>
          <cell r="G1266">
            <v>1663</v>
          </cell>
          <cell r="H1266">
            <v>43195</v>
          </cell>
          <cell r="I1266" t="str">
            <v>AYUDA TEMPORAL A LAS FAMILIAS DE VARIAS LOCALIDADES, PARA LA RELOCALIZACIÓN DE HOGARES LOCALIZADOS EN ZONAS DE ALTO RIESGO NO MITIGABLE ID:2013-Q05-00050, LOCALIDAD:19 CIUDAD BOLÍVAR, UPZ:67 LUCERO, SECTOR:QUEBRADA CAÑO BAÚL</v>
          </cell>
          <cell r="J1266">
            <v>3017000</v>
          </cell>
          <cell r="K1266">
            <v>0</v>
          </cell>
          <cell r="L1266">
            <v>3017000</v>
          </cell>
          <cell r="M1266">
            <v>431000</v>
          </cell>
          <cell r="N1266">
            <v>2586000</v>
          </cell>
        </row>
        <row r="1267">
          <cell r="A1267">
            <v>649</v>
          </cell>
          <cell r="B1267">
            <v>1706</v>
          </cell>
          <cell r="C1267">
            <v>43195</v>
          </cell>
          <cell r="D1267" t="str">
            <v>JAIRO ALEXI FERLA</v>
          </cell>
          <cell r="E1267">
            <v>31</v>
          </cell>
          <cell r="F1267" t="str">
            <v>RESOLUCION</v>
          </cell>
          <cell r="G1267">
            <v>1662</v>
          </cell>
          <cell r="H1267">
            <v>43195</v>
          </cell>
          <cell r="I1267" t="str">
            <v>AYUDA TEMPORAL A LAS FAMILIAS DE VARIAS LOCALIDADES, PARA LA RELOCALIZACIÓN DE HOGARES LOCALIZADOS EN ZONAS DE ALTO RIESGO NO MITIGABLE ID:2007-4-10688, LOCALIDAD:04 SAN CRISTÓBAL, UPZ:32 SAN BLAS</v>
          </cell>
          <cell r="J1267">
            <v>5612893</v>
          </cell>
          <cell r="K1267">
            <v>0</v>
          </cell>
          <cell r="L1267">
            <v>5612893</v>
          </cell>
          <cell r="M1267">
            <v>431761</v>
          </cell>
          <cell r="N1267">
            <v>5181132</v>
          </cell>
        </row>
        <row r="1268">
          <cell r="A1268">
            <v>649</v>
          </cell>
          <cell r="B1268">
            <v>1707</v>
          </cell>
          <cell r="C1268">
            <v>43195</v>
          </cell>
          <cell r="D1268" t="str">
            <v>GEORGINA  GOMEZ MORENO</v>
          </cell>
          <cell r="E1268">
            <v>31</v>
          </cell>
          <cell r="F1268" t="str">
            <v>RESOLUCION</v>
          </cell>
          <cell r="G1268">
            <v>1661</v>
          </cell>
          <cell r="H1268">
            <v>43195</v>
          </cell>
          <cell r="I1268" t="str">
            <v>AYUDA TEMPORAL A LAS FAMILIAS DE VARIAS LOCALIDADES, PARA LA RELOCALIZACIÓN DE HOGARES LOCALIZADOS EN ZONAS DE ALTO RIESGO NO MITIGABLE ID:2015-W166-500, LOCALIDAD:03 SANTA FE, UPZ:96 LOURDES, SECTOR:UITOTO</v>
          </cell>
          <cell r="J1268">
            <v>5311566</v>
          </cell>
          <cell r="K1268">
            <v>0</v>
          </cell>
          <cell r="L1268">
            <v>5311566</v>
          </cell>
          <cell r="M1268">
            <v>590174</v>
          </cell>
          <cell r="N1268">
            <v>4721392</v>
          </cell>
        </row>
        <row r="1269">
          <cell r="A1269">
            <v>649</v>
          </cell>
          <cell r="B1269">
            <v>1711</v>
          </cell>
          <cell r="C1269">
            <v>43195</v>
          </cell>
          <cell r="D1269" t="str">
            <v>ALVARO  GARZON GONZALEZ</v>
          </cell>
          <cell r="E1269">
            <v>31</v>
          </cell>
          <cell r="F1269" t="str">
            <v>RESOLUCION</v>
          </cell>
          <cell r="G1269">
            <v>1660</v>
          </cell>
          <cell r="H1269">
            <v>43195</v>
          </cell>
          <cell r="I1269" t="str">
            <v>AYUDA TEMPORAL A LAS FAMILIAS DE VARIAS LOCALIDADES, PARA LA RELOCALIZACIÓN DE HOGARES LOCALIZADOS EN ZONAS DE ALTO RIESGO NO MITIGABLE ID:2015-D227-00038, LOCALIDAD:04 SAN CRISTÓBAL, UPZ:51 LOS LIBERTADORES, SECTOR:SANTA TERESITA</v>
          </cell>
          <cell r="J1269">
            <v>2899572</v>
          </cell>
          <cell r="K1269">
            <v>0</v>
          </cell>
          <cell r="L1269">
            <v>2899572</v>
          </cell>
          <cell r="M1269">
            <v>483262</v>
          </cell>
          <cell r="N1269">
            <v>2416310</v>
          </cell>
        </row>
        <row r="1270">
          <cell r="A1270">
            <v>649</v>
          </cell>
          <cell r="B1270">
            <v>1712</v>
          </cell>
          <cell r="C1270">
            <v>43195</v>
          </cell>
          <cell r="D1270" t="str">
            <v>LUZ MERY BERMUDEZ VARGAS</v>
          </cell>
          <cell r="E1270">
            <v>31</v>
          </cell>
          <cell r="F1270" t="str">
            <v>RESOLUCION</v>
          </cell>
          <cell r="G1270">
            <v>1659</v>
          </cell>
          <cell r="H1270">
            <v>43195</v>
          </cell>
          <cell r="I1270" t="str">
            <v>AYUDA TEMPORAL A LAS FAMILIAS DE VARIAS LOCALIDADES, PARA LA RELOCALIZACIÓN DE HOGARES LOCALIZADOS EN ZONAS DE ALTO RIESGO NO MITIGABLE ID:2015-Q03-03361, LOCALIDAD:19 CIUDAD BOLÍVAR, UPZ:67 LUCERO, SECTOR:LIMAS</v>
          </cell>
          <cell r="J1270">
            <v>3157357</v>
          </cell>
          <cell r="K1270">
            <v>0</v>
          </cell>
          <cell r="L1270">
            <v>3157357</v>
          </cell>
          <cell r="M1270">
            <v>451051</v>
          </cell>
          <cell r="N1270">
            <v>2706306</v>
          </cell>
        </row>
        <row r="1271">
          <cell r="A1271">
            <v>649</v>
          </cell>
          <cell r="B1271">
            <v>1713</v>
          </cell>
          <cell r="C1271">
            <v>43195</v>
          </cell>
          <cell r="D1271" t="str">
            <v>NELSON  GALEANO CORZO</v>
          </cell>
          <cell r="E1271">
            <v>31</v>
          </cell>
          <cell r="F1271" t="str">
            <v>RESOLUCION</v>
          </cell>
          <cell r="G1271">
            <v>1658</v>
          </cell>
          <cell r="H1271">
            <v>43195</v>
          </cell>
          <cell r="I1271" t="str">
            <v>AYUDA TEMPORAL A LAS FAMILIAS DE VARIAS LOCALIDADES, PARA LA RELOCALIZACIÓN DE HOGARES LOCALIZADOS EN ZONAS DE ALTO RIESGO NO MITIGABLE ID:2013-Q05-00054, LOCALIDAD:19 CIUDAD BOLÍVAR, UPZ:68 EL TESORO, SECTOR:QUEBRADA GALINDO</v>
          </cell>
          <cell r="J1271">
            <v>2596764</v>
          </cell>
          <cell r="K1271">
            <v>0</v>
          </cell>
          <cell r="L1271">
            <v>2596764</v>
          </cell>
          <cell r="M1271">
            <v>649191</v>
          </cell>
          <cell r="N1271">
            <v>1947573</v>
          </cell>
        </row>
        <row r="1272">
          <cell r="A1272">
            <v>649</v>
          </cell>
          <cell r="B1272">
            <v>1714</v>
          </cell>
          <cell r="C1272">
            <v>43195</v>
          </cell>
          <cell r="D1272" t="str">
            <v>MARLIN  MOÑA CHIRIPUA</v>
          </cell>
          <cell r="E1272">
            <v>31</v>
          </cell>
          <cell r="F1272" t="str">
            <v>RESOLUCION</v>
          </cell>
          <cell r="G1272">
            <v>1657</v>
          </cell>
          <cell r="H1272">
            <v>43195</v>
          </cell>
          <cell r="I1272" t="str">
            <v>AYUDA TEMPORAL A LAS FAMILIAS DE VARIAS LOCALIDADES, PARA LA RELOCALIZACIÓN DE HOGARES LOCALIZADOS EN ZONAS DE ALTO RIESGO NO MITIGABLE ID:2015-W166-519, LOCALIDAD:19 CIUDAD BOLÍVAR, UPZ:67 LUCERO, SECTOR:WOUNAAN</v>
          </cell>
          <cell r="J1272">
            <v>6030557</v>
          </cell>
          <cell r="K1272">
            <v>0</v>
          </cell>
          <cell r="L1272">
            <v>6030557</v>
          </cell>
          <cell r="M1272">
            <v>463889</v>
          </cell>
          <cell r="N1272">
            <v>5566668</v>
          </cell>
        </row>
        <row r="1273">
          <cell r="A1273">
            <v>649</v>
          </cell>
          <cell r="B1273">
            <v>1715</v>
          </cell>
          <cell r="C1273">
            <v>43195</v>
          </cell>
          <cell r="D1273" t="str">
            <v>VICTOR  CARPIO CONQUISTA</v>
          </cell>
          <cell r="E1273">
            <v>31</v>
          </cell>
          <cell r="F1273" t="str">
            <v>RESOLUCION</v>
          </cell>
          <cell r="G1273">
            <v>1656</v>
          </cell>
          <cell r="H1273">
            <v>43195</v>
          </cell>
          <cell r="I1273" t="str">
            <v>AYUDA TEMPORAL A LAS FAMILIAS DE VARIAS LOCALIDADES, PARA LA RELOCALIZACIÓN DE HOGARES LOCALIZADOS EN ZONAS DE ALTO RIESGO NO MITIGABLE ID:2014-W166-030, LOCALIDAD:19 CIUDAD BOLÍVAR, UPZ:67 LUCERO, SECTOR:WOUNAAN</v>
          </cell>
          <cell r="J1273">
            <v>5532880</v>
          </cell>
          <cell r="K1273">
            <v>0</v>
          </cell>
          <cell r="L1273">
            <v>5532880</v>
          </cell>
          <cell r="M1273">
            <v>553288</v>
          </cell>
          <cell r="N1273">
            <v>4979592</v>
          </cell>
        </row>
        <row r="1274">
          <cell r="A1274">
            <v>649</v>
          </cell>
          <cell r="B1274">
            <v>1716</v>
          </cell>
          <cell r="C1274">
            <v>43195</v>
          </cell>
          <cell r="D1274" t="str">
            <v>INGRI  CARPIO CHAMAPURO</v>
          </cell>
          <cell r="E1274">
            <v>31</v>
          </cell>
          <cell r="F1274" t="str">
            <v>RESOLUCION</v>
          </cell>
          <cell r="G1274">
            <v>1655</v>
          </cell>
          <cell r="H1274">
            <v>43195</v>
          </cell>
          <cell r="I1274" t="str">
            <v>AYUDA TEMPORAL A LAS FAMILIAS DE VARIAS LOCALIDADES, PARA LA RELOCALIZACIÓN DE HOGARES LOCALIZADOS EN ZONAS DE ALTO RIESGO NO MITIGABLE ID:2015-W166-442, LOCALIDAD:19 CIUDAD BOLÍVAR, UPZ:67 LUCERO, SECTOR:WOUNAAN</v>
          </cell>
          <cell r="J1274">
            <v>4117167</v>
          </cell>
          <cell r="K1274">
            <v>0</v>
          </cell>
          <cell r="L1274">
            <v>4117167</v>
          </cell>
          <cell r="M1274">
            <v>457463</v>
          </cell>
          <cell r="N1274">
            <v>3659704</v>
          </cell>
        </row>
        <row r="1275">
          <cell r="A1275">
            <v>674</v>
          </cell>
          <cell r="B1275">
            <v>1718</v>
          </cell>
          <cell r="C1275">
            <v>43195</v>
          </cell>
          <cell r="D1275" t="str">
            <v>CARMEN NANCY RINCON DE BORDA</v>
          </cell>
          <cell r="E1275">
            <v>31</v>
          </cell>
          <cell r="F1275" t="str">
            <v>RESOLUCION</v>
          </cell>
          <cell r="G1275">
            <v>1690</v>
          </cell>
          <cell r="H1275">
            <v>43195</v>
          </cell>
          <cell r="I1275" t="str">
            <v>VUR de la actual vigencia.Dto 255 de 2013. LOCALIDAD:CIUDAD BOLIVAR; BARRIO:SAUCES HORTALIZAS (HORTALIZAS); ID:2012-19-14175</v>
          </cell>
          <cell r="J1275">
            <v>39062100</v>
          </cell>
          <cell r="K1275">
            <v>0</v>
          </cell>
          <cell r="L1275">
            <v>39062100</v>
          </cell>
          <cell r="M1275">
            <v>0</v>
          </cell>
          <cell r="N1275">
            <v>39062100</v>
          </cell>
        </row>
        <row r="1276">
          <cell r="A1276">
            <v>649</v>
          </cell>
          <cell r="B1276">
            <v>1719</v>
          </cell>
          <cell r="C1276">
            <v>43195</v>
          </cell>
          <cell r="D1276" t="str">
            <v>ILEUDINE  DURA CHIRIPUA</v>
          </cell>
          <cell r="E1276">
            <v>31</v>
          </cell>
          <cell r="F1276" t="str">
            <v>RESOLUCION</v>
          </cell>
          <cell r="G1276">
            <v>1750</v>
          </cell>
          <cell r="H1276">
            <v>43195</v>
          </cell>
          <cell r="I1276" t="str">
            <v>AYUDA TEMPORAL A LAS FAMILIAS DE VARIAS LOCALIDADES, PARA LA RELOCALIZACIÓN DE HOGARES LOCALIZADOS EN ZONAS DE ALTO RIESGO NO MITIGABLE ID:2015-W166-208, LOCALIDAD:04 SAN CRISTÓBAL, UPZ:33 SOSIEGO, SECTOR:EPERARA</v>
          </cell>
          <cell r="J1276">
            <v>3983670</v>
          </cell>
          <cell r="K1276">
            <v>0</v>
          </cell>
          <cell r="L1276">
            <v>3983670</v>
          </cell>
          <cell r="M1276">
            <v>442630</v>
          </cell>
          <cell r="N1276">
            <v>3541040</v>
          </cell>
        </row>
        <row r="1277">
          <cell r="A1277">
            <v>649</v>
          </cell>
          <cell r="B1277">
            <v>1721</v>
          </cell>
          <cell r="C1277">
            <v>43195</v>
          </cell>
          <cell r="D1277" t="str">
            <v>FERNELY  ISMARE PUCHICAMA</v>
          </cell>
          <cell r="E1277">
            <v>31</v>
          </cell>
          <cell r="F1277" t="str">
            <v>RESOLUCION</v>
          </cell>
          <cell r="G1277">
            <v>1751</v>
          </cell>
          <cell r="H1277">
            <v>43195</v>
          </cell>
          <cell r="I1277" t="str">
            <v>AYUDA TEMPORAL A LAS FAMILIAS DE VARIAS LOCALIDADES, PARA LA RELOCALIZACIÓN DE HOGARES LOCALIZADOS EN ZONAS DE ALTO RIESGO NO MITIGABLE ID:2014-W166-098, LOCALIDAD:19 CIUDAD BOLÍVAR, UPZ:67 LUCERO, SECTOR:WOUNAAN</v>
          </cell>
          <cell r="J1277">
            <v>3515589</v>
          </cell>
          <cell r="K1277">
            <v>0</v>
          </cell>
          <cell r="L1277">
            <v>3515589</v>
          </cell>
          <cell r="M1277">
            <v>390621</v>
          </cell>
          <cell r="N1277">
            <v>3124968</v>
          </cell>
        </row>
        <row r="1278">
          <cell r="A1278">
            <v>649</v>
          </cell>
          <cell r="B1278">
            <v>1722</v>
          </cell>
          <cell r="C1278">
            <v>43195</v>
          </cell>
          <cell r="D1278" t="str">
            <v>ARELIS  CLOFE GAMBOA</v>
          </cell>
          <cell r="E1278">
            <v>31</v>
          </cell>
          <cell r="F1278" t="str">
            <v>RESOLUCION</v>
          </cell>
          <cell r="G1278">
            <v>1752</v>
          </cell>
          <cell r="H1278">
            <v>43195</v>
          </cell>
          <cell r="I1278" t="str">
            <v>AYUDA TEMPORAL A LAS FAMILIAS DE VARIAS LOCALIDADES, PARA LA RELOCALIZACIÓN DE HOGARES LOCALIZADOS EN ZONAS DE ALTO RIESGO NO MITIGABLE ID:2013-Q18-00395, LOCALIDAD:19 CIUDAD BOLÍVAR, UPZ:69 ISMAEL PERDOMO, SECTOR:ZANJÓN MURALLA</v>
          </cell>
          <cell r="J1278">
            <v>1335924</v>
          </cell>
          <cell r="K1278">
            <v>0</v>
          </cell>
          <cell r="L1278">
            <v>1335924</v>
          </cell>
          <cell r="M1278">
            <v>445308</v>
          </cell>
          <cell r="N1278">
            <v>890616</v>
          </cell>
        </row>
        <row r="1279">
          <cell r="A1279">
            <v>395</v>
          </cell>
          <cell r="B1279">
            <v>1726</v>
          </cell>
          <cell r="C1279">
            <v>43195</v>
          </cell>
          <cell r="D1279" t="str">
            <v>ALONSO  CONQUISTA CARPIO</v>
          </cell>
          <cell r="E1279">
            <v>31</v>
          </cell>
          <cell r="F1279" t="str">
            <v>RESOLUCION</v>
          </cell>
          <cell r="G1279">
            <v>1654</v>
          </cell>
          <cell r="H1279">
            <v>43195</v>
          </cell>
          <cell r="I1279" t="str">
            <v>AYUDA TEMPORAL A LAS FAMILIAS DE VARIAS LOCALIDADES, PARA RELOCALIZACIÓN DE HOGARES LOCALIZADOS EN ZONAS DE ALTO RIESGO NO MITIGABLE ID:2014-W166-049, LOCALIDAD:19 CIUDAD BOLÍVAR, UPZ:68 EL TESORO, SECTOR:WOUNAAN</v>
          </cell>
          <cell r="J1279">
            <v>3873016</v>
          </cell>
          <cell r="K1279">
            <v>0</v>
          </cell>
          <cell r="L1279">
            <v>3873016</v>
          </cell>
          <cell r="M1279">
            <v>553288</v>
          </cell>
          <cell r="N1279">
            <v>3319728</v>
          </cell>
        </row>
        <row r="1280">
          <cell r="A1280">
            <v>649</v>
          </cell>
          <cell r="B1280">
            <v>1727</v>
          </cell>
          <cell r="C1280">
            <v>43195</v>
          </cell>
          <cell r="D1280" t="str">
            <v>DILFIO  MERCAZA ISMARE</v>
          </cell>
          <cell r="E1280">
            <v>31</v>
          </cell>
          <cell r="F1280" t="str">
            <v>RESOLUCION</v>
          </cell>
          <cell r="G1280">
            <v>1653</v>
          </cell>
          <cell r="H1280">
            <v>43195</v>
          </cell>
          <cell r="I1280" t="str">
            <v>AYUDA TEMPORAL A LAS FAMILIAS DE VARIAS LOCALIDADES, PARA LA RELOCALIZACIÓN DE HOGARES LOCALIZADOS EN ZONAS DE ALTO RIESGO NO MITIGABLE ID:2014-W166-024, LOCALIDAD:19 CIUDAD BOLÍVAR, UPZ:68 EL TESORO, SECTOR:WOUNAAN</v>
          </cell>
          <cell r="J1280">
            <v>3659040</v>
          </cell>
          <cell r="K1280">
            <v>0</v>
          </cell>
          <cell r="L1280">
            <v>3659040</v>
          </cell>
          <cell r="M1280">
            <v>406560</v>
          </cell>
          <cell r="N1280">
            <v>3252480</v>
          </cell>
        </row>
        <row r="1281">
          <cell r="A1281">
            <v>649</v>
          </cell>
          <cell r="B1281">
            <v>1728</v>
          </cell>
          <cell r="C1281">
            <v>43195</v>
          </cell>
          <cell r="D1281" t="str">
            <v>JOSE BELANIO QUIRO PIRAZA</v>
          </cell>
          <cell r="E1281">
            <v>31</v>
          </cell>
          <cell r="F1281" t="str">
            <v>RESOLUCION</v>
          </cell>
          <cell r="G1281">
            <v>1652</v>
          </cell>
          <cell r="H1281">
            <v>43195</v>
          </cell>
          <cell r="I1281" t="str">
            <v>AYUDA TEMPORAL A LAS FAMILIAS DE VARIAS LOCALIDADES, PARA LA RELOCALIZACIÓN DE HOGARES LOCALIZADOS EN ZONAS DE ALTO RIESGO NO MITIGABLE ID:2014-W166-072, LOCALIDAD:19 CIUDAD BOLÍVAR, UPZ:68 EL TESORO, SECTOR:WOUNAAN</v>
          </cell>
          <cell r="J1281">
            <v>7921797</v>
          </cell>
          <cell r="K1281">
            <v>0</v>
          </cell>
          <cell r="L1281">
            <v>7921797</v>
          </cell>
          <cell r="M1281">
            <v>609369</v>
          </cell>
          <cell r="N1281">
            <v>7312428</v>
          </cell>
        </row>
        <row r="1282">
          <cell r="A1282">
            <v>649</v>
          </cell>
          <cell r="B1282">
            <v>1729</v>
          </cell>
          <cell r="C1282">
            <v>43195</v>
          </cell>
          <cell r="D1282" t="str">
            <v>NOEL  ZAMUDIO BOHORQUEZ</v>
          </cell>
          <cell r="E1282">
            <v>31</v>
          </cell>
          <cell r="F1282" t="str">
            <v>RESOLUCION</v>
          </cell>
          <cell r="G1282">
            <v>1651</v>
          </cell>
          <cell r="H1282">
            <v>43195</v>
          </cell>
          <cell r="I1282" t="str">
            <v>AYUDA TEMPORAL A LAS FAMILIAS DE VARIAS LOCALIDADES, PARA LA RELOCALIZACIÓN DE HOGARES LOCALIZADOS EN ZONAS DE ALTO RIESGO NO MITIGABLE ID:2009-4-10956, LOCALIDAD:04 SAN CRISTÓBAL, UPZ:32 SAN BLAS</v>
          </cell>
          <cell r="J1282">
            <v>5178771</v>
          </cell>
          <cell r="K1282">
            <v>0</v>
          </cell>
          <cell r="L1282">
            <v>5178771</v>
          </cell>
          <cell r="M1282">
            <v>398367</v>
          </cell>
          <cell r="N1282">
            <v>4780404</v>
          </cell>
        </row>
        <row r="1283">
          <cell r="A1283">
            <v>649</v>
          </cell>
          <cell r="B1283">
            <v>1730</v>
          </cell>
          <cell r="C1283">
            <v>43195</v>
          </cell>
          <cell r="D1283" t="str">
            <v>NANCY  CHIRIMIA QUIRO</v>
          </cell>
          <cell r="E1283">
            <v>31</v>
          </cell>
          <cell r="F1283" t="str">
            <v>RESOLUCION</v>
          </cell>
          <cell r="G1283">
            <v>1650</v>
          </cell>
          <cell r="H1283">
            <v>43195</v>
          </cell>
          <cell r="I1283" t="str">
            <v>AYUDA TEMPORAL A LAS FAMILIAS DE VARIAS LOCALIDADES, PARA LA RELOCALIZACIÓN DE HOGARES LOCALIZADOS EN ZONAS DE ALTO RIESGO NO MITIGABLE ID:2015-W166-219, LOCALIDAD:04 SAN CRISTÓBAL, UPZ:33 SOSIEGO, SECTOR:EPERARA</v>
          </cell>
          <cell r="J1283">
            <v>7312422</v>
          </cell>
          <cell r="K1283">
            <v>0</v>
          </cell>
          <cell r="L1283">
            <v>7312422</v>
          </cell>
          <cell r="M1283">
            <v>562494</v>
          </cell>
          <cell r="N1283">
            <v>6749928</v>
          </cell>
        </row>
        <row r="1284">
          <cell r="A1284">
            <v>649</v>
          </cell>
          <cell r="B1284">
            <v>1731</v>
          </cell>
          <cell r="C1284">
            <v>43195</v>
          </cell>
          <cell r="D1284" t="str">
            <v>MARTHA  JIMENEZ PRECIADO</v>
          </cell>
          <cell r="E1284">
            <v>31</v>
          </cell>
          <cell r="F1284" t="str">
            <v>RESOLUCION</v>
          </cell>
          <cell r="G1284">
            <v>1646</v>
          </cell>
          <cell r="H1284">
            <v>43195</v>
          </cell>
          <cell r="I1284" t="str">
            <v>AYUDA TEMPORAL A LAS FAMILIAS DE VARIAS LOCALIDADES, PARA LA RELOCALIZACIÓN DE HOGARES LOCALIZADOS EN ZONAS DE ALTO RIESGO NO MITIGABLE ID:2013-Q04-00530, LOCALIDAD:19 CIUDAD BOLÍVAR, UPZ:67 LUCERO, SECTOR:PEÑA COLORADA</v>
          </cell>
          <cell r="J1284">
            <v>4218705</v>
          </cell>
          <cell r="K1284">
            <v>0</v>
          </cell>
          <cell r="L1284">
            <v>4218705</v>
          </cell>
          <cell r="M1284">
            <v>468745</v>
          </cell>
          <cell r="N1284">
            <v>3749960</v>
          </cell>
        </row>
        <row r="1285">
          <cell r="A1285">
            <v>649</v>
          </cell>
          <cell r="B1285">
            <v>1732</v>
          </cell>
          <cell r="C1285">
            <v>43195</v>
          </cell>
          <cell r="D1285" t="str">
            <v>BERNABE  CARRILLO FORERO</v>
          </cell>
          <cell r="E1285">
            <v>31</v>
          </cell>
          <cell r="F1285" t="str">
            <v>RESOLUCION</v>
          </cell>
          <cell r="G1285">
            <v>1645</v>
          </cell>
          <cell r="H1285">
            <v>43195</v>
          </cell>
          <cell r="I1285" t="str">
            <v>AYUDA TEMPORAL A LAS FAMILIAS DE VARIAS LOCALIDADES, PARA LA RELOCALIZACIÓN DE HOGARES LOCALIZADOS EN ZONAS DE ALTO RIESGO NO MITIGABLE ID:2012-19-13900, LOCALIDAD:19 CIUDAD BOLÍVAR, UPZ:67 LUCERO</v>
          </cell>
          <cell r="J1285">
            <v>4218710</v>
          </cell>
          <cell r="K1285">
            <v>0</v>
          </cell>
          <cell r="L1285">
            <v>4218710</v>
          </cell>
          <cell r="M1285">
            <v>421871</v>
          </cell>
          <cell r="N1285">
            <v>3796839</v>
          </cell>
        </row>
        <row r="1286">
          <cell r="A1286">
            <v>649</v>
          </cell>
          <cell r="B1286">
            <v>1733</v>
          </cell>
          <cell r="C1286">
            <v>43195</v>
          </cell>
          <cell r="D1286" t="str">
            <v>MISTRICO  CARPIO CHIRIPUA</v>
          </cell>
          <cell r="E1286">
            <v>31</v>
          </cell>
          <cell r="F1286" t="str">
            <v>RESOLUCION</v>
          </cell>
          <cell r="G1286">
            <v>1749</v>
          </cell>
          <cell r="H1286">
            <v>43195</v>
          </cell>
          <cell r="I1286" t="str">
            <v>AYUDA TEMPORAL A LAS FAMILIAS DE VARIAS LOCALIDADES, PARA LA RELOCALIZACIÓN DE HOGARES LOCALIZADOS EN ZONAS DE ALTO RIESGO NO MITIGABLE ID:2014-W166-080, LOCALIDAD:19 CIUDAD BOLÍVAR, UPZ:68 EL TESORO, SECTOR:WOUNAAN</v>
          </cell>
          <cell r="J1286">
            <v>5901740</v>
          </cell>
          <cell r="K1286">
            <v>0</v>
          </cell>
          <cell r="L1286">
            <v>5901740</v>
          </cell>
          <cell r="M1286">
            <v>590174</v>
          </cell>
          <cell r="N1286">
            <v>5311566</v>
          </cell>
        </row>
        <row r="1287">
          <cell r="A1287">
            <v>650</v>
          </cell>
          <cell r="B1287">
            <v>1737</v>
          </cell>
          <cell r="C1287">
            <v>43196</v>
          </cell>
          <cell r="D1287" t="str">
            <v>CAROLAING  JOYA CUELLAR</v>
          </cell>
          <cell r="E1287">
            <v>31</v>
          </cell>
          <cell r="F1287" t="str">
            <v>RESOLUCION</v>
          </cell>
          <cell r="G1287">
            <v>1748</v>
          </cell>
          <cell r="H1287">
            <v>43196</v>
          </cell>
          <cell r="I1287" t="str">
            <v>Asignacion del instrumento financiero a las familias ocupantes del predio que hayan superado la fase de verificacion dentro  del marco del Decreto 457 de 2017. LOCALIDAD: KENNEDY; BARRIO: VEREDITAS; ID: 2018-8-15223</v>
          </cell>
          <cell r="J1287">
            <v>54686940</v>
          </cell>
          <cell r="K1287">
            <v>0</v>
          </cell>
          <cell r="L1287">
            <v>54686940</v>
          </cell>
          <cell r="M1287">
            <v>0</v>
          </cell>
          <cell r="N1287">
            <v>54686940</v>
          </cell>
        </row>
        <row r="1288">
          <cell r="A1288">
            <v>649</v>
          </cell>
          <cell r="B1288">
            <v>1740</v>
          </cell>
          <cell r="C1288">
            <v>43199</v>
          </cell>
          <cell r="D1288" t="str">
            <v>MARIA ONAIDA CONDE AROCA</v>
          </cell>
          <cell r="E1288">
            <v>31</v>
          </cell>
          <cell r="F1288" t="str">
            <v>RESOLUCION</v>
          </cell>
          <cell r="G1288">
            <v>1766</v>
          </cell>
          <cell r="H1288">
            <v>43199</v>
          </cell>
          <cell r="I1288" t="str">
            <v>AYUDA TEMPORAL A LAS FAMILIAS DE VARIAS LOCALIDADES, PARA LA RELOCALIZACIÓN DE HOGARES LOCALIZADOS EN ZONAS DE ALTO RIESGO NO MITIGABLE ID:2011-5-12997, LOCALIDAD:05 USME, UPZ:56 DANUBIO</v>
          </cell>
          <cell r="J1288">
            <v>4177680</v>
          </cell>
          <cell r="K1288">
            <v>0</v>
          </cell>
          <cell r="L1288">
            <v>4177680</v>
          </cell>
          <cell r="M1288">
            <v>417768</v>
          </cell>
          <cell r="N1288">
            <v>3759912</v>
          </cell>
        </row>
        <row r="1289">
          <cell r="A1289">
            <v>649</v>
          </cell>
          <cell r="B1289">
            <v>1741</v>
          </cell>
          <cell r="C1289">
            <v>43199</v>
          </cell>
          <cell r="D1289" t="str">
            <v>LUIS FERNANDO GOMEZ ALARCON</v>
          </cell>
          <cell r="E1289">
            <v>31</v>
          </cell>
          <cell r="F1289" t="str">
            <v>RESOLUCION</v>
          </cell>
          <cell r="G1289">
            <v>1767</v>
          </cell>
          <cell r="H1289">
            <v>43199</v>
          </cell>
          <cell r="I1289" t="str">
            <v>AYUDA TEMPORAL A LAS FAMILIAS DE VARIAS LOCALIDADES, PARA LA RELOCALIZACIÓN DE HOGARES LOCALIZADOS EN ZONAS DE ALTO RIESGO NO MITIGABLE ID:2014-OTR-00971, LOCALIDAD:19 CIUDAD BOLÍVAR, UPZ:67 LUCERO, SECTOR:TABOR ALTALOMA</v>
          </cell>
          <cell r="J1289">
            <v>4310000</v>
          </cell>
          <cell r="K1289">
            <v>0</v>
          </cell>
          <cell r="L1289">
            <v>4310000</v>
          </cell>
          <cell r="M1289">
            <v>431000</v>
          </cell>
          <cell r="N1289">
            <v>3879000</v>
          </cell>
        </row>
        <row r="1290">
          <cell r="A1290">
            <v>649</v>
          </cell>
          <cell r="B1290">
            <v>1742</v>
          </cell>
          <cell r="C1290">
            <v>43199</v>
          </cell>
          <cell r="D1290" t="str">
            <v>NELLY EDUVIGES PEÑA MOSQUERA</v>
          </cell>
          <cell r="E1290">
            <v>31</v>
          </cell>
          <cell r="F1290" t="str">
            <v>RESOLUCION</v>
          </cell>
          <cell r="G1290">
            <v>1768</v>
          </cell>
          <cell r="H1290">
            <v>43199</v>
          </cell>
          <cell r="I1290" t="str">
            <v>AYUDA TEMPORAL A LAS FAMILIAS DE VARIAS LOCALIDADES, PARA LA RELOCALIZACIÓN DE HOGARES LOCALIZADOS EN ZONAS DE ALTO RIESGO NO MITIGABLE ID:2013-Q21-00613, LOCALIDAD:19 CIUDAD BOLÍVAR, UPZ:67 LUCERO, SECTOR:BRAZO DERECHO DE LIMAS</v>
          </cell>
          <cell r="J1290">
            <v>4843700</v>
          </cell>
          <cell r="K1290">
            <v>0</v>
          </cell>
          <cell r="L1290">
            <v>4843700</v>
          </cell>
          <cell r="M1290">
            <v>484370</v>
          </cell>
          <cell r="N1290">
            <v>4359330</v>
          </cell>
        </row>
        <row r="1291">
          <cell r="A1291">
            <v>649</v>
          </cell>
          <cell r="B1291">
            <v>1743</v>
          </cell>
          <cell r="C1291">
            <v>43199</v>
          </cell>
          <cell r="D1291" t="str">
            <v>MIRYAM AMPARO SALINAS ARAGON</v>
          </cell>
          <cell r="E1291">
            <v>31</v>
          </cell>
          <cell r="F1291" t="str">
            <v>RESOLUCION</v>
          </cell>
          <cell r="G1291">
            <v>1769</v>
          </cell>
          <cell r="H1291">
            <v>43199</v>
          </cell>
          <cell r="I1291" t="str">
            <v>AYUDA TEMPORAL A LAS FAMILIAS DE VARIAS LOCALIDADES, PARA LA RELOCALIZACIÓN DE HOGARES LOCALIZADOS EN ZONAS DE ALTO RIESGO NO MITIGABLE ID:2009-4-11058, LOCALIDAD:04 SAN CRISTÓBAL, UPZ:32 SAN BLAS</v>
          </cell>
          <cell r="J1291">
            <v>4317610</v>
          </cell>
          <cell r="K1291">
            <v>0</v>
          </cell>
          <cell r="L1291">
            <v>4317610</v>
          </cell>
          <cell r="M1291">
            <v>863522</v>
          </cell>
          <cell r="N1291">
            <v>3454088</v>
          </cell>
        </row>
        <row r="1292">
          <cell r="A1292">
            <v>649</v>
          </cell>
          <cell r="B1292">
            <v>1744</v>
          </cell>
          <cell r="C1292">
            <v>43199</v>
          </cell>
          <cell r="D1292" t="str">
            <v>JARINSON  ORTIZ QUIRO</v>
          </cell>
          <cell r="E1292">
            <v>31</v>
          </cell>
          <cell r="F1292" t="str">
            <v>RESOLUCION</v>
          </cell>
          <cell r="G1292">
            <v>1770</v>
          </cell>
          <cell r="H1292">
            <v>43199</v>
          </cell>
          <cell r="I1292" t="str">
            <v>AYUDA TEMPORAL A LAS FAMILIAS DE VARIAS LOCALIDADES, PARA LA RELOCALIZACIÓN DE HOGARES LOCALIZADOS EN ZONAS DE ALTO RIESGO NO MITIGABLE ID:2014-W166-066, LOCALIDAD:19 CIUDAD BOLÍVAR, UPZ:68 EL TESORO, SECTOR:WOUNAAN</v>
          </cell>
          <cell r="J1292">
            <v>5476900</v>
          </cell>
          <cell r="K1292">
            <v>0</v>
          </cell>
          <cell r="L1292">
            <v>5476900</v>
          </cell>
          <cell r="M1292">
            <v>547690</v>
          </cell>
          <cell r="N1292">
            <v>4929210</v>
          </cell>
        </row>
        <row r="1293">
          <cell r="A1293">
            <v>395</v>
          </cell>
          <cell r="B1293">
            <v>1745</v>
          </cell>
          <cell r="C1293">
            <v>43199</v>
          </cell>
          <cell r="D1293" t="str">
            <v>MARIA ALEJANDRA SANCHEZ MENESES</v>
          </cell>
          <cell r="E1293">
            <v>31</v>
          </cell>
          <cell r="F1293" t="str">
            <v>RESOLUCION</v>
          </cell>
          <cell r="G1293">
            <v>1743</v>
          </cell>
          <cell r="H1293">
            <v>43199</v>
          </cell>
          <cell r="I1293" t="str">
            <v>AYUDA TEMPORAL A LAS FAMILIAS DE VARIAS LOCALIDADES, PARA RELOCALIZACIÓN DE HOGARES LOCALIZADOS EN ZONAS DE ALTO RIESGO NO MITIGABLE ID:2014-OTR-01167, LOCALIDAD:11 SUBA, UPZ:71 TIBABUYES, SECTOR:GAVILANES</v>
          </cell>
          <cell r="J1293">
            <v>3017000</v>
          </cell>
          <cell r="K1293">
            <v>0</v>
          </cell>
          <cell r="L1293">
            <v>3017000</v>
          </cell>
          <cell r="M1293">
            <v>1724000</v>
          </cell>
          <cell r="N1293">
            <v>1293000</v>
          </cell>
        </row>
        <row r="1294">
          <cell r="A1294">
            <v>649</v>
          </cell>
          <cell r="B1294">
            <v>1746</v>
          </cell>
          <cell r="C1294">
            <v>43199</v>
          </cell>
          <cell r="D1294" t="str">
            <v>IMELDA  PERTIAGA GONZALEZ</v>
          </cell>
          <cell r="E1294">
            <v>31</v>
          </cell>
          <cell r="F1294" t="str">
            <v>RESOLUCION</v>
          </cell>
          <cell r="G1294">
            <v>1759</v>
          </cell>
          <cell r="H1294">
            <v>43199</v>
          </cell>
          <cell r="I1294" t="str">
            <v>AYUDA TEMPORAL A LAS FAMILIAS DE VARIAS LOCALIDADES, PARA LA RELOCALIZACIÓN DE HOGARES LOCALIZADOS EN ZONAS DE ALTO RIESGO NO MITIGABLE ID:2015-W166-218, LOCALIDAD:04 SAN CRISTÓBAL, UPZ:33 SOSIEGO, SECTOR:EPERARA</v>
          </cell>
          <cell r="J1294">
            <v>5923863</v>
          </cell>
          <cell r="K1294">
            <v>0</v>
          </cell>
          <cell r="L1294">
            <v>5923863</v>
          </cell>
          <cell r="M1294">
            <v>538533</v>
          </cell>
          <cell r="N1294">
            <v>5385330</v>
          </cell>
        </row>
        <row r="1295">
          <cell r="A1295">
            <v>649</v>
          </cell>
          <cell r="B1295">
            <v>1748</v>
          </cell>
          <cell r="C1295">
            <v>43199</v>
          </cell>
          <cell r="D1295" t="str">
            <v>TEODORO  LEON CASTRO</v>
          </cell>
          <cell r="E1295">
            <v>31</v>
          </cell>
          <cell r="F1295" t="str">
            <v>RESOLUCION</v>
          </cell>
          <cell r="G1295">
            <v>1760</v>
          </cell>
          <cell r="H1295">
            <v>43199</v>
          </cell>
          <cell r="I1295" t="str">
            <v>AYUDA TEMPORAL A LAS FAMILIAS DE VARIAS LOCALIDADES, PARA LA RELOCALIZACIÓN DE HOGARES LOCALIZADOS EN ZONAS DE ALTO RIESGO NO MITIGABLE ID:2016-4-00009, LOCALIDAD:04 SAN CRISTÓBAL, UPZ:51 LOS LIBERTADORES</v>
          </cell>
          <cell r="J1295">
            <v>4234496</v>
          </cell>
          <cell r="K1295">
            <v>0</v>
          </cell>
          <cell r="L1295">
            <v>4234496</v>
          </cell>
          <cell r="M1295">
            <v>604928</v>
          </cell>
          <cell r="N1295">
            <v>3629568</v>
          </cell>
        </row>
        <row r="1296">
          <cell r="A1296">
            <v>649</v>
          </cell>
          <cell r="B1296">
            <v>1749</v>
          </cell>
          <cell r="C1296">
            <v>43199</v>
          </cell>
          <cell r="D1296" t="str">
            <v>HAMILTON  CARPIO MEMBACHE</v>
          </cell>
          <cell r="E1296">
            <v>31</v>
          </cell>
          <cell r="F1296" t="str">
            <v>RESOLUCION</v>
          </cell>
          <cell r="G1296">
            <v>1763</v>
          </cell>
          <cell r="H1296">
            <v>43199</v>
          </cell>
          <cell r="I1296" t="str">
            <v>AYUDA TEMPORAL A LAS FAMILIAS DE VARIAS LOCALIDADES, PARA LA RELOCALIZACIÓN DE HOGARES LOCALIZADOS EN ZONAS DE ALTO RIESGO NO MITIGABLE ID:2014-W166-062, LOCALIDAD:19 CIUDAD BOLÍVAR, UPZ:68 EL TESORO, SECTOR:WOUNAAN</v>
          </cell>
          <cell r="J1296">
            <v>5680420</v>
          </cell>
          <cell r="K1296">
            <v>0</v>
          </cell>
          <cell r="L1296">
            <v>5680420</v>
          </cell>
          <cell r="M1296">
            <v>568042</v>
          </cell>
          <cell r="N1296">
            <v>5112378</v>
          </cell>
        </row>
        <row r="1297">
          <cell r="A1297">
            <v>649</v>
          </cell>
          <cell r="B1297">
            <v>1750</v>
          </cell>
          <cell r="C1297">
            <v>43199</v>
          </cell>
          <cell r="D1297" t="str">
            <v>YERAR  MOYA ORTIZ</v>
          </cell>
          <cell r="E1297">
            <v>31</v>
          </cell>
          <cell r="F1297" t="str">
            <v>RESOLUCION</v>
          </cell>
          <cell r="G1297">
            <v>1764</v>
          </cell>
          <cell r="H1297">
            <v>43199</v>
          </cell>
          <cell r="I1297" t="str">
            <v>AYUDA TEMPORAL A LAS FAMILIAS DE VARIAS LOCALIDADES, PARA LA RELOCALIZACIÓN DE HOGARES LOCALIZADOS EN ZONAS DE ALTO RIESGO NO MITIGABLE ID:2014-W166-036, LOCALIDAD:19 CIUDAD BOLÍVAR, UPZ:67 LUCERO, SECTOR:WOUNAAN</v>
          </cell>
          <cell r="J1297">
            <v>5532880</v>
          </cell>
          <cell r="K1297">
            <v>0</v>
          </cell>
          <cell r="L1297">
            <v>5532880</v>
          </cell>
          <cell r="M1297">
            <v>553288</v>
          </cell>
          <cell r="N1297">
            <v>4979592</v>
          </cell>
        </row>
        <row r="1298">
          <cell r="A1298">
            <v>649</v>
          </cell>
          <cell r="B1298">
            <v>1751</v>
          </cell>
          <cell r="C1298">
            <v>43199</v>
          </cell>
          <cell r="D1298" t="str">
            <v>JHON FREDY VALENCIA CUERO</v>
          </cell>
          <cell r="E1298">
            <v>31</v>
          </cell>
          <cell r="F1298" t="str">
            <v>RESOLUCION</v>
          </cell>
          <cell r="G1298">
            <v>1765</v>
          </cell>
          <cell r="H1298">
            <v>43199</v>
          </cell>
          <cell r="I1298" t="str">
            <v>AYUDA TEMPORAL A LAS FAMILIAS DE VARIAS LOCALIDADES, PARA LA RELOCALIZACIÓN DE HOGARES LOCALIZADOS EN ZONAS DE ALTO RIESGO NO MITIGABLE ID:2014-W166-067, LOCALIDAD:19 CIUDAD BOLÍVAR, UPZ:68 EL TESORO, SECTOR:WOUNAAN</v>
          </cell>
          <cell r="J1298">
            <v>5901740</v>
          </cell>
          <cell r="K1298">
            <v>0</v>
          </cell>
          <cell r="L1298">
            <v>5901740</v>
          </cell>
          <cell r="M1298">
            <v>590174</v>
          </cell>
          <cell r="N1298">
            <v>5311566</v>
          </cell>
        </row>
        <row r="1299">
          <cell r="A1299">
            <v>649</v>
          </cell>
          <cell r="B1299">
            <v>1752</v>
          </cell>
          <cell r="C1299">
            <v>43199</v>
          </cell>
          <cell r="D1299" t="str">
            <v>GERMAN  RUBIO MORENO</v>
          </cell>
          <cell r="E1299">
            <v>31</v>
          </cell>
          <cell r="F1299" t="str">
            <v>RESOLUCION</v>
          </cell>
          <cell r="G1299">
            <v>1762</v>
          </cell>
          <cell r="H1299">
            <v>43199</v>
          </cell>
          <cell r="I1299" t="str">
            <v>AYUDA TEMPORAL A LAS FAMILIAS DE VARIAS LOCALIDADES, PARA LA RELOCALIZACIÓN DE HOGARES LOCALIZADOS EN ZONAS DE ALTO RIESGO NO MITIGABLE ID:2011-19-13761, LOCALIDAD:19 CIUDAD BOLÍVAR, UPZ:67 LUCERO</v>
          </cell>
          <cell r="J1299">
            <v>1171863</v>
          </cell>
          <cell r="K1299">
            <v>0</v>
          </cell>
          <cell r="L1299">
            <v>1171863</v>
          </cell>
          <cell r="M1299">
            <v>781242</v>
          </cell>
          <cell r="N1299">
            <v>390621</v>
          </cell>
        </row>
        <row r="1300">
          <cell r="A1300">
            <v>649</v>
          </cell>
          <cell r="B1300">
            <v>1753</v>
          </cell>
          <cell r="C1300">
            <v>43200</v>
          </cell>
          <cell r="D1300" t="str">
            <v>BLANCA MARY BULLA RODRIGUEZ</v>
          </cell>
          <cell r="E1300">
            <v>31</v>
          </cell>
          <cell r="F1300" t="str">
            <v>RESOLUCION</v>
          </cell>
          <cell r="G1300">
            <v>1761</v>
          </cell>
          <cell r="H1300">
            <v>43200</v>
          </cell>
          <cell r="I1300" t="str">
            <v>AYUDA TEMPORAL A LAS FAMILIAS DE VARIAS LOCALIDADES, PARA LA RELOCALIZACIÓN DE HOGARES LOCALIZADOS EN ZONAS DE ALTO RIESGO NO MITIGABLE ID:2013000249, LOCALIDAD:19 CIUDAD BOLÍVAR, UPZ:67 LUCERO, SECTOR:PEÑA COLORADA</v>
          </cell>
          <cell r="J1300">
            <v>6639450</v>
          </cell>
          <cell r="K1300">
            <v>0</v>
          </cell>
          <cell r="L1300">
            <v>6639450</v>
          </cell>
          <cell r="M1300">
            <v>663945</v>
          </cell>
          <cell r="N1300">
            <v>5975505</v>
          </cell>
        </row>
        <row r="1301">
          <cell r="A1301">
            <v>677</v>
          </cell>
          <cell r="B1301">
            <v>1754</v>
          </cell>
          <cell r="C1301">
            <v>43200</v>
          </cell>
          <cell r="D1301" t="str">
            <v>FRANCY PAOLA CRUZ ARDILA</v>
          </cell>
          <cell r="E1301">
            <v>145</v>
          </cell>
          <cell r="F1301" t="str">
            <v>CONTRATO DE PRESTACION DE SERVICIOS PROFESIONALES</v>
          </cell>
          <cell r="G1301">
            <v>548</v>
          </cell>
          <cell r="H1301">
            <v>43200</v>
          </cell>
          <cell r="I1301" t="str">
            <v>PRÒRROGA Y ADICIÒN AL CONTRATO NO 548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J1301">
            <v>15300000</v>
          </cell>
          <cell r="K1301">
            <v>0</v>
          </cell>
          <cell r="L1301">
            <v>15300000</v>
          </cell>
          <cell r="M1301">
            <v>0</v>
          </cell>
          <cell r="N1301">
            <v>15300000</v>
          </cell>
        </row>
        <row r="1302">
          <cell r="A1302">
            <v>649</v>
          </cell>
          <cell r="B1302">
            <v>1757</v>
          </cell>
          <cell r="C1302">
            <v>43201</v>
          </cell>
          <cell r="D1302" t="str">
            <v>CARLOS  CONTRERAS COLMENARES</v>
          </cell>
          <cell r="E1302">
            <v>31</v>
          </cell>
          <cell r="F1302" t="str">
            <v>RESOLUCION</v>
          </cell>
          <cell r="G1302">
            <v>1824</v>
          </cell>
          <cell r="H1302">
            <v>43201</v>
          </cell>
          <cell r="I1302" t="str">
            <v>AYUDA TEMPORAL A LAS FAMILIAS DE VARIAS LOCALIDADES, PARA LA RELOCALIZACIÓN DE HOGARES LOCALIZADOS EN ZONAS DE ALTO RIESGO NO MITIGABLE ID:2007-19-9715, LOCALIDAD:19 CIUDAD BOLÍVAR, UPZ:69 ISMAEL PERDOMO</v>
          </cell>
          <cell r="J1302">
            <v>4296831</v>
          </cell>
          <cell r="K1302">
            <v>0</v>
          </cell>
          <cell r="L1302">
            <v>4296831</v>
          </cell>
          <cell r="M1302">
            <v>781242</v>
          </cell>
          <cell r="N1302">
            <v>3515589</v>
          </cell>
        </row>
        <row r="1303">
          <cell r="A1303">
            <v>649</v>
          </cell>
          <cell r="B1303">
            <v>1758</v>
          </cell>
          <cell r="C1303">
            <v>43201</v>
          </cell>
          <cell r="D1303" t="str">
            <v>CAROLINA  GUZMAN ROMERO</v>
          </cell>
          <cell r="E1303">
            <v>31</v>
          </cell>
          <cell r="F1303" t="str">
            <v>RESOLUCION</v>
          </cell>
          <cell r="G1303">
            <v>1832</v>
          </cell>
          <cell r="H1303">
            <v>43201</v>
          </cell>
          <cell r="I1303" t="str">
            <v>AYUDA TEMPORAL A LAS FAMILIAS DE VARIAS LOCALIDADES, PARA LA RELOCALIZACIÓN DE HOGARES LOCALIZADOS EN ZONAS DE ALTO RIESGO NO MITIGABLE ID:2016-08-14921, LOCALIDAD:08 KENNEDY, UPZ:82 PATIO BONITO, SECTOR:PALMITAS</v>
          </cell>
          <cell r="J1303">
            <v>3186936</v>
          </cell>
          <cell r="K1303">
            <v>0</v>
          </cell>
          <cell r="L1303">
            <v>3186936</v>
          </cell>
          <cell r="M1303">
            <v>398367</v>
          </cell>
          <cell r="N1303">
            <v>2788569</v>
          </cell>
        </row>
        <row r="1304">
          <cell r="A1304">
            <v>395</v>
          </cell>
          <cell r="B1304">
            <v>1759</v>
          </cell>
          <cell r="C1304">
            <v>43201</v>
          </cell>
          <cell r="D1304" t="str">
            <v>LUZ GEIDI MONTOYA</v>
          </cell>
          <cell r="E1304">
            <v>31</v>
          </cell>
          <cell r="F1304" t="str">
            <v>RESOLUCION</v>
          </cell>
          <cell r="G1304">
            <v>1833</v>
          </cell>
          <cell r="H1304">
            <v>43201</v>
          </cell>
          <cell r="I1304" t="str">
            <v>AYUDA TEMPORAL A LAS FAMILIAS DE VARIAS LOCALIDADES, PARA RELOCALIZACIÓN DE HOGARES LOCALIZADOS EN ZONAS DE ALTO RIESGO NO MITIGABLE ID:2013000371, LOCALIDAD:19 CIUDAD BOLÍVAR, UPZ:67 LUCERO, SECTOR:PEÑA COLORADA</v>
          </cell>
          <cell r="J1304">
            <v>5859320</v>
          </cell>
          <cell r="K1304">
            <v>0</v>
          </cell>
          <cell r="L1304">
            <v>5859320</v>
          </cell>
          <cell r="M1304">
            <v>585932</v>
          </cell>
          <cell r="N1304">
            <v>5273388</v>
          </cell>
        </row>
        <row r="1305">
          <cell r="A1305">
            <v>395</v>
          </cell>
          <cell r="B1305">
            <v>1760</v>
          </cell>
          <cell r="C1305">
            <v>43201</v>
          </cell>
          <cell r="D1305" t="str">
            <v>LUIS YEINER PIRAZA GARABATO</v>
          </cell>
          <cell r="E1305">
            <v>31</v>
          </cell>
          <cell r="F1305" t="str">
            <v>RESOLUCION</v>
          </cell>
          <cell r="G1305">
            <v>1834</v>
          </cell>
          <cell r="H1305">
            <v>43201</v>
          </cell>
          <cell r="I1305" t="str">
            <v>AYUDA TEMPORAL A LAS FAMILIAS DE VARIAS LOCALIDADES, PARA RELOCALIZACIÓN DE HOGARES LOCALIZADOS EN ZONAS DE ALTO RIESGO NO MITIGABLE ID:2015-W166-427, LOCALIDAD:19 CIUDAD BOLÍVAR, UPZ:68 EL TESORO, SECTOR:WOUNAAN</v>
          </cell>
          <cell r="J1305">
            <v>4871376</v>
          </cell>
          <cell r="K1305">
            <v>0</v>
          </cell>
          <cell r="L1305">
            <v>4871376</v>
          </cell>
          <cell r="M1305">
            <v>541264</v>
          </cell>
          <cell r="N1305">
            <v>4330112</v>
          </cell>
        </row>
        <row r="1306">
          <cell r="A1306">
            <v>737</v>
          </cell>
          <cell r="B1306">
            <v>1761</v>
          </cell>
          <cell r="C1306">
            <v>43201</v>
          </cell>
          <cell r="D1306" t="str">
            <v>JOSE PARMENIO LOPEZ</v>
          </cell>
          <cell r="E1306">
            <v>31</v>
          </cell>
          <cell r="F1306" t="str">
            <v>RESOLUCION</v>
          </cell>
          <cell r="G1306">
            <v>1783</v>
          </cell>
          <cell r="H1306">
            <v>43201</v>
          </cell>
          <cell r="I1306" t="str">
            <v>VUR de la actual vigencia.Dto 255 de 2013. LOCALIDAD:CIUDAD BOLIVAR; BARRIO:EL MOCHUEO IV; ID:2016-19-00024</v>
          </cell>
          <cell r="J1306">
            <v>39062100</v>
          </cell>
          <cell r="K1306">
            <v>0</v>
          </cell>
          <cell r="L1306">
            <v>39062100</v>
          </cell>
          <cell r="M1306">
            <v>0</v>
          </cell>
          <cell r="N1306">
            <v>39062100</v>
          </cell>
        </row>
        <row r="1307">
          <cell r="A1307">
            <v>747</v>
          </cell>
          <cell r="B1307">
            <v>1762</v>
          </cell>
          <cell r="C1307">
            <v>43201</v>
          </cell>
          <cell r="D1307" t="str">
            <v>JESSICA LIZBETH PUENTES TELLEZ</v>
          </cell>
          <cell r="E1307">
            <v>31</v>
          </cell>
          <cell r="F1307" t="str">
            <v>RESOLUCION</v>
          </cell>
          <cell r="G1307">
            <v>1777</v>
          </cell>
          <cell r="H1307">
            <v>43201</v>
          </cell>
          <cell r="I1307" t="str">
            <v>Asignacion del instrumento financiero a las familias ocupantes del predio que hayan superado la fase de verificacion dentro  del marco del Decreto 457 de 2017. LOCALIDAD: KENNEDY; BARRIO: VEREDITAS; ID: 2018-8-384313.</v>
          </cell>
          <cell r="J1307">
            <v>54686940</v>
          </cell>
          <cell r="K1307">
            <v>0</v>
          </cell>
          <cell r="L1307">
            <v>54686940</v>
          </cell>
          <cell r="M1307">
            <v>0</v>
          </cell>
          <cell r="N1307">
            <v>54686940</v>
          </cell>
        </row>
        <row r="1308">
          <cell r="A1308">
            <v>679</v>
          </cell>
          <cell r="B1308">
            <v>1763</v>
          </cell>
          <cell r="C1308">
            <v>43201</v>
          </cell>
          <cell r="D1308" t="str">
            <v>JOSE BASILICO GONZALEZ MURCIA</v>
          </cell>
          <cell r="E1308">
            <v>31</v>
          </cell>
          <cell r="F1308" t="str">
            <v>RESOLUCION</v>
          </cell>
          <cell r="G1308">
            <v>1773</v>
          </cell>
          <cell r="H1308">
            <v>43201</v>
          </cell>
          <cell r="I1308" t="str">
            <v>Asignacion del instrumento financiero a las familias ocupantes del predio que hayan superado la fase de verificacion dentro  del marco del Decreto 457 de 2017. LOCALIDAD: KENNEDY; BARRIO: VEREDITAS; ID: 2017-8-383763</v>
          </cell>
          <cell r="J1308">
            <v>54686940</v>
          </cell>
          <cell r="K1308">
            <v>0</v>
          </cell>
          <cell r="L1308">
            <v>54686940</v>
          </cell>
          <cell r="M1308">
            <v>54686940</v>
          </cell>
          <cell r="N1308">
            <v>0</v>
          </cell>
        </row>
        <row r="1309">
          <cell r="A1309">
            <v>666</v>
          </cell>
          <cell r="B1309">
            <v>1764</v>
          </cell>
          <cell r="C1309">
            <v>43201</v>
          </cell>
          <cell r="D1309" t="str">
            <v>ALISON DANIELA MUÑOZ REYES</v>
          </cell>
          <cell r="E1309">
            <v>31</v>
          </cell>
          <cell r="F1309" t="str">
            <v>RESOLUCION</v>
          </cell>
          <cell r="G1309">
            <v>1774</v>
          </cell>
          <cell r="H1309">
            <v>43201</v>
          </cell>
          <cell r="I1309" t="str">
            <v>Asignacion del instrumento financiero a las familias ocupantes del predio que hayan superado la fase de verificacion dentro  del marco del Decreto 457 de 2017. LOCALIDAD: KENNEDY; BARRIO: VEREDITAS; ID: 2018-8-384268</v>
          </cell>
          <cell r="J1309">
            <v>54686940</v>
          </cell>
          <cell r="K1309">
            <v>0</v>
          </cell>
          <cell r="L1309">
            <v>54686940</v>
          </cell>
          <cell r="M1309">
            <v>54686940</v>
          </cell>
          <cell r="N1309">
            <v>0</v>
          </cell>
        </row>
        <row r="1310">
          <cell r="A1310">
            <v>649</v>
          </cell>
          <cell r="B1310">
            <v>1765</v>
          </cell>
          <cell r="C1310">
            <v>43201</v>
          </cell>
          <cell r="D1310" t="str">
            <v>MARIA DEL CARMEN VALENCIA MEJIA</v>
          </cell>
          <cell r="E1310">
            <v>31</v>
          </cell>
          <cell r="F1310" t="str">
            <v>RESOLUCION</v>
          </cell>
          <cell r="G1310">
            <v>1788</v>
          </cell>
          <cell r="H1310">
            <v>43201</v>
          </cell>
          <cell r="I1310" t="str">
            <v>AYUDA TEMPORAL A LAS FAMILIAS DE VARIAS LOCALIDADES, PARA LA RELOCALIZACIÓN DE HOGARES LOCALIZADOS EN ZONAS DE ALTO RIESGO NO MITIGABLE ID:2015-W166-203, LOCALIDAD:04 SAN CRISTÓBAL, UPZ:33 SOSIEGO, SECTOR:EPERARA</v>
          </cell>
          <cell r="J1310">
            <v>4926465</v>
          </cell>
          <cell r="K1310">
            <v>0</v>
          </cell>
          <cell r="L1310">
            <v>4926465</v>
          </cell>
          <cell r="M1310">
            <v>547385</v>
          </cell>
          <cell r="N1310">
            <v>4379080</v>
          </cell>
        </row>
        <row r="1311">
          <cell r="A1311">
            <v>649</v>
          </cell>
          <cell r="B1311">
            <v>1766</v>
          </cell>
          <cell r="C1311">
            <v>43201</v>
          </cell>
          <cell r="D1311" t="str">
            <v>MELIDA  VALENCIA CHIRIMIA</v>
          </cell>
          <cell r="E1311">
            <v>31</v>
          </cell>
          <cell r="F1311" t="str">
            <v>RESOLUCION</v>
          </cell>
          <cell r="G1311">
            <v>1789</v>
          </cell>
          <cell r="H1311">
            <v>43201</v>
          </cell>
          <cell r="I1311" t="str">
            <v>AYUDA TEMPORAL A LAS FAMILIAS DE VARIAS LOCALIDADES, PARA LA RELOCALIZACIÓN DE HOGARES LOCALIZADOS EN ZONAS DE ALTO RIESGO NO MITIGABLE ID:2015-W166-200, LOCALIDAD:04 SAN CRISTÓBAL, UPZ:33 SOSIEGO, SECTOR:EPERARA</v>
          </cell>
          <cell r="J1311">
            <v>5311566</v>
          </cell>
          <cell r="K1311">
            <v>0</v>
          </cell>
          <cell r="L1311">
            <v>5311566</v>
          </cell>
          <cell r="M1311">
            <v>590174</v>
          </cell>
          <cell r="N1311">
            <v>4721392</v>
          </cell>
        </row>
        <row r="1312">
          <cell r="A1312">
            <v>752</v>
          </cell>
          <cell r="B1312">
            <v>1767</v>
          </cell>
          <cell r="C1312">
            <v>43201</v>
          </cell>
          <cell r="D1312" t="str">
            <v>JULIO  ROMERO</v>
          </cell>
          <cell r="E1312">
            <v>31</v>
          </cell>
          <cell r="F1312" t="str">
            <v>RESOLUCION</v>
          </cell>
          <cell r="G1312">
            <v>1775</v>
          </cell>
          <cell r="H1312">
            <v>43201</v>
          </cell>
          <cell r="I1312" t="str">
            <v>Asignacion del instrumento financiero a las familias ocupantes del predio que hayan superado la fase de verificacion dentro  del marco del Decreto 457 de 2017. LOCALIDAD: KENNEDY; BARRIO: VEREDITAS; ID: 2018-08-384320</v>
          </cell>
          <cell r="J1312">
            <v>54686940</v>
          </cell>
          <cell r="K1312">
            <v>0</v>
          </cell>
          <cell r="L1312">
            <v>54686940</v>
          </cell>
          <cell r="M1312">
            <v>0</v>
          </cell>
          <cell r="N1312">
            <v>54686940</v>
          </cell>
        </row>
        <row r="1313">
          <cell r="A1313">
            <v>667</v>
          </cell>
          <cell r="B1313">
            <v>1768</v>
          </cell>
          <cell r="C1313">
            <v>43201</v>
          </cell>
          <cell r="D1313" t="str">
            <v>CARLOS JULIO LEON OBANDO</v>
          </cell>
          <cell r="E1313">
            <v>31</v>
          </cell>
          <cell r="F1313" t="str">
            <v>RESOLUCION</v>
          </cell>
          <cell r="G1313">
            <v>1776</v>
          </cell>
          <cell r="H1313">
            <v>43201</v>
          </cell>
          <cell r="I1313" t="str">
            <v>Asignacion del instrumento financiero a las familias ocupantes del predio que hayan superado la fase de verificacion dentro  del marco del Decreto 457 de 2017. LOCALIDAD: KENNEDY; BARRIO: VEREDITAS; ID: 2017-8-383614</v>
          </cell>
          <cell r="J1313">
            <v>54686940</v>
          </cell>
          <cell r="K1313">
            <v>0</v>
          </cell>
          <cell r="L1313">
            <v>54686940</v>
          </cell>
          <cell r="M1313">
            <v>54686940</v>
          </cell>
          <cell r="N1313">
            <v>0</v>
          </cell>
        </row>
        <row r="1314">
          <cell r="A1314">
            <v>649</v>
          </cell>
          <cell r="B1314">
            <v>1769</v>
          </cell>
          <cell r="C1314">
            <v>43201</v>
          </cell>
          <cell r="D1314" t="str">
            <v>EDINSON  CHOCO PIRAZA</v>
          </cell>
          <cell r="E1314">
            <v>31</v>
          </cell>
          <cell r="F1314" t="str">
            <v>RESOLUCION</v>
          </cell>
          <cell r="G1314">
            <v>1784</v>
          </cell>
          <cell r="H1314">
            <v>43201</v>
          </cell>
          <cell r="I1314" t="str">
            <v>AYUDA TEMPORAL A LAS FAMILIAS DE VARIAS LOCALIDADES, PARA LA RELOCALIZACIÓN DE HOGARES LOCALIZADOS EN ZONAS DE ALTO RIESGO NO MITIGABLE ID:2015-W166-531, LOCALIDAD:19 CIUDAD BOLÍVAR, UPZ:67 LUCERO, SECTOR:WOUNAAN</v>
          </cell>
          <cell r="J1314">
            <v>4175001</v>
          </cell>
          <cell r="K1314">
            <v>0</v>
          </cell>
          <cell r="L1314">
            <v>4175001</v>
          </cell>
          <cell r="M1314">
            <v>463889</v>
          </cell>
          <cell r="N1314">
            <v>3711112</v>
          </cell>
        </row>
        <row r="1315">
          <cell r="A1315">
            <v>649</v>
          </cell>
          <cell r="B1315">
            <v>1770</v>
          </cell>
          <cell r="C1315">
            <v>43201</v>
          </cell>
          <cell r="D1315" t="str">
            <v>ILARIO  MECHA PEDROZA</v>
          </cell>
          <cell r="E1315">
            <v>31</v>
          </cell>
          <cell r="F1315" t="str">
            <v>RESOLUCION</v>
          </cell>
          <cell r="G1315">
            <v>1785</v>
          </cell>
          <cell r="H1315">
            <v>43201</v>
          </cell>
          <cell r="I1315" t="str">
            <v>AYUDA TEMPORAL A LAS FAMILIAS DE VARIAS LOCALIDADES, PARA LA RELOCALIZACIÓN DE HOGARES LOCALIZADOS EN ZONAS DE ALTO RIESGO NO MITIGABLE ID:2014-W166-026, LOCALIDAD:19 CIUDAD BOLÍVAR, UPZ:67 LUCERO, SECTOR:WOUNAAN</v>
          </cell>
          <cell r="J1315">
            <v>7192744</v>
          </cell>
          <cell r="K1315">
            <v>0</v>
          </cell>
          <cell r="L1315">
            <v>7192744</v>
          </cell>
          <cell r="M1315">
            <v>553288</v>
          </cell>
          <cell r="N1315">
            <v>6639456</v>
          </cell>
        </row>
        <row r="1316">
          <cell r="A1316">
            <v>649</v>
          </cell>
          <cell r="B1316">
            <v>1771</v>
          </cell>
          <cell r="C1316">
            <v>43201</v>
          </cell>
          <cell r="D1316" t="str">
            <v>FLOR ALBA ARIZA MOSQUERA</v>
          </cell>
          <cell r="E1316">
            <v>31</v>
          </cell>
          <cell r="F1316" t="str">
            <v>RESOLUCION</v>
          </cell>
          <cell r="G1316">
            <v>1786</v>
          </cell>
          <cell r="H1316">
            <v>43201</v>
          </cell>
          <cell r="I1316" t="str">
            <v>AYUDA TEMPORAL A LAS FAMILIAS DE VARIAS LOCALIDADES, PARA LA RELOCALIZACIÓN DE HOGARES LOCALIZADOS EN ZONAS DE ALTO RIESGO NO MITIGABLE ID:2013-Q18-00093, LOCALIDAD:19 CIUDAD BOLÍVAR, UPZ:69 ISMAEL PERDOMO, SECTOR:ZANJÓN MURALLA</v>
          </cell>
          <cell r="J1316">
            <v>1624984</v>
          </cell>
          <cell r="K1316">
            <v>0</v>
          </cell>
          <cell r="L1316">
            <v>1624984</v>
          </cell>
          <cell r="M1316">
            <v>406246</v>
          </cell>
          <cell r="N1316">
            <v>1218738</v>
          </cell>
        </row>
        <row r="1317">
          <cell r="A1317">
            <v>649</v>
          </cell>
          <cell r="B1317">
            <v>1772</v>
          </cell>
          <cell r="C1317">
            <v>43201</v>
          </cell>
          <cell r="D1317" t="str">
            <v>MARISOL  LEIVA FARIRATOFE</v>
          </cell>
          <cell r="E1317">
            <v>31</v>
          </cell>
          <cell r="F1317" t="str">
            <v>RESOLUCION</v>
          </cell>
          <cell r="G1317">
            <v>1822</v>
          </cell>
          <cell r="H1317">
            <v>43201</v>
          </cell>
          <cell r="I1317" t="str">
            <v>AYUDA TEMPORAL A LAS FAMILIAS DE VARIAS LOCALIDADES, PARA LA RELOCALIZACIÓN DE HOGARES LOCALIZADOS EN ZONAS DE ALTO RIESGO NO MITIGABLE ID:2015-W166-408, LOCALIDAD:06 TUNJUELITO, UPZ:42 VENECIA, SECTOR:UITOTO</v>
          </cell>
          <cell r="J1317">
            <v>6520679</v>
          </cell>
          <cell r="K1317">
            <v>0</v>
          </cell>
          <cell r="L1317">
            <v>6520679</v>
          </cell>
          <cell r="M1317">
            <v>592789</v>
          </cell>
          <cell r="N1317">
            <v>5927890</v>
          </cell>
        </row>
        <row r="1318">
          <cell r="A1318">
            <v>649</v>
          </cell>
          <cell r="B1318">
            <v>1773</v>
          </cell>
          <cell r="C1318">
            <v>43201</v>
          </cell>
          <cell r="D1318" t="str">
            <v>HECTOR  MEMBACHE ZARCO</v>
          </cell>
          <cell r="E1318">
            <v>31</v>
          </cell>
          <cell r="F1318" t="str">
            <v>RESOLUCION</v>
          </cell>
          <cell r="G1318">
            <v>1787</v>
          </cell>
          <cell r="H1318">
            <v>43201</v>
          </cell>
          <cell r="I1318" t="str">
            <v>AYUDA TEMPORAL A LAS FAMILIAS DE VARIAS LOCALIDADES, PARA LA RELOCALIZACIÓN DE HOGARES LOCALIZADOS EN ZONAS DE ALTO RIESGO NO MITIGABLE ID:2014-W166-063, LOCALIDAD:19 CIUDAD BOLÍVAR, UPZ:68 EL TESORO, SECTOR:WOUNAAN</v>
          </cell>
          <cell r="J1318">
            <v>4573850</v>
          </cell>
          <cell r="K1318">
            <v>0</v>
          </cell>
          <cell r="L1318">
            <v>4573850</v>
          </cell>
          <cell r="M1318">
            <v>457385</v>
          </cell>
          <cell r="N1318">
            <v>4116465</v>
          </cell>
        </row>
        <row r="1319">
          <cell r="A1319">
            <v>649</v>
          </cell>
          <cell r="B1319">
            <v>1774</v>
          </cell>
          <cell r="C1319">
            <v>43201</v>
          </cell>
          <cell r="D1319" t="str">
            <v>JORGE ENRIQUE CASTELLANOS VASQUEZ</v>
          </cell>
          <cell r="E1319">
            <v>31</v>
          </cell>
          <cell r="F1319" t="str">
            <v>RESOLUCION</v>
          </cell>
          <cell r="G1319">
            <v>1790</v>
          </cell>
          <cell r="H1319">
            <v>43201</v>
          </cell>
          <cell r="I1319" t="str">
            <v>AYUDA TEMPORAL A LAS FAMILIAS DE VARIAS LOCALIDADES, PARA LA RELOCALIZACIÓN DE HOGARES LOCALIZADOS EN ZONAS DE ALTO RIESGO NO MITIGABLE ID:2017-20-15009, LOCALIDAD:20 SUMAPAZ, UPZ:5 UPR RIO SUMAPAZ, SECTOR:LA UNION</v>
          </cell>
          <cell r="J1319">
            <v>7031180</v>
          </cell>
          <cell r="K1319">
            <v>0</v>
          </cell>
          <cell r="L1319">
            <v>7031180</v>
          </cell>
          <cell r="M1319">
            <v>703118</v>
          </cell>
          <cell r="N1319">
            <v>6328062</v>
          </cell>
        </row>
        <row r="1320">
          <cell r="A1320">
            <v>649</v>
          </cell>
          <cell r="B1320">
            <v>1775</v>
          </cell>
          <cell r="C1320">
            <v>43201</v>
          </cell>
          <cell r="D1320" t="str">
            <v>LEYDY VIVIANA CASAS</v>
          </cell>
          <cell r="E1320">
            <v>31</v>
          </cell>
          <cell r="F1320" t="str">
            <v>RESOLUCION</v>
          </cell>
          <cell r="G1320">
            <v>1823</v>
          </cell>
          <cell r="H1320">
            <v>43201</v>
          </cell>
          <cell r="I1320" t="str">
            <v>AYUDA TEMPORAL A LAS FAMILIAS DE VARIAS LOCALIDADES, PARA LA RELOCALIZACIÓN DE HOGARES LOCALIZADOS EN ZONAS DE ALTO RIESGO NO MITIGABLE ID:2015-Q09-01426, LOCALIDAD:19 CIUDAD BOLÍVAR, UPZ:67 LUCERO, SECTOR:QUEBRADA TROMPETA</v>
          </cell>
          <cell r="J1320">
            <v>5412450</v>
          </cell>
          <cell r="K1320">
            <v>0</v>
          </cell>
          <cell r="L1320">
            <v>5412450</v>
          </cell>
          <cell r="M1320">
            <v>541245</v>
          </cell>
          <cell r="N1320">
            <v>4871205</v>
          </cell>
        </row>
        <row r="1321">
          <cell r="A1321">
            <v>563</v>
          </cell>
          <cell r="B1321">
            <v>1777</v>
          </cell>
          <cell r="C1321">
            <v>43202</v>
          </cell>
          <cell r="D1321" t="str">
            <v>ROSALY  GONZALEZ SAENZ</v>
          </cell>
          <cell r="E1321">
            <v>31</v>
          </cell>
          <cell r="F1321" t="str">
            <v>RESOLUCION</v>
          </cell>
          <cell r="G1321">
            <v>1782</v>
          </cell>
          <cell r="H1321">
            <v>43202</v>
          </cell>
          <cell r="I1321" t="str">
            <v>Adquisición predial Dto. 511 de 2010. LOCALIDAD: USME; BARRIO: SAN JUAN DE USME;ID: 2010-5-11479</v>
          </cell>
          <cell r="J1321">
            <v>53532600</v>
          </cell>
          <cell r="K1321">
            <v>0</v>
          </cell>
          <cell r="L1321">
            <v>53532600</v>
          </cell>
          <cell r="M1321">
            <v>0</v>
          </cell>
          <cell r="N1321">
            <v>53532600</v>
          </cell>
        </row>
        <row r="1322">
          <cell r="A1322">
            <v>718</v>
          </cell>
          <cell r="B1322">
            <v>1778</v>
          </cell>
          <cell r="C1322">
            <v>43202</v>
          </cell>
          <cell r="D1322" t="str">
            <v>DIEGO EDWIN PULIDO MOLANO</v>
          </cell>
          <cell r="E1322">
            <v>31</v>
          </cell>
          <cell r="F1322" t="str">
            <v>RESOLUCION</v>
          </cell>
          <cell r="G1322">
            <v>1758</v>
          </cell>
          <cell r="H1322">
            <v>43202</v>
          </cell>
          <cell r="I1322" t="str">
            <v>Valor excedente de providencia ordena pagar gastos de auxiliar de justicia en el marco de la Acción Popular No 2016-00177 enero de 2018</v>
          </cell>
          <cell r="J1322">
            <v>122953</v>
          </cell>
          <cell r="K1322">
            <v>0</v>
          </cell>
          <cell r="L1322">
            <v>122953</v>
          </cell>
          <cell r="M1322">
            <v>0</v>
          </cell>
          <cell r="N1322">
            <v>122953</v>
          </cell>
        </row>
        <row r="1323">
          <cell r="A1323">
            <v>643</v>
          </cell>
          <cell r="B1323">
            <v>1779</v>
          </cell>
          <cell r="C1323">
            <v>43202</v>
          </cell>
          <cell r="D1323" t="str">
            <v>DIEGO EDWIN PULIDO MOLANO</v>
          </cell>
          <cell r="E1323">
            <v>31</v>
          </cell>
          <cell r="F1323" t="str">
            <v>RESOLUCION</v>
          </cell>
          <cell r="G1323">
            <v>1286</v>
          </cell>
          <cell r="H1323">
            <v>43202</v>
          </cell>
          <cell r="I1323" t="str">
            <v>Providencia ordena pagar gastos de auxiliar de justicia en el marco de la Acción Popular No 2016-00177 enero de 2018.</v>
          </cell>
          <cell r="J1323">
            <v>614764</v>
          </cell>
          <cell r="K1323">
            <v>0</v>
          </cell>
          <cell r="L1323">
            <v>614764</v>
          </cell>
          <cell r="M1323">
            <v>0</v>
          </cell>
          <cell r="N1323">
            <v>614764</v>
          </cell>
        </row>
        <row r="1324">
          <cell r="A1324">
            <v>756</v>
          </cell>
          <cell r="B1324">
            <v>1780</v>
          </cell>
          <cell r="C1324">
            <v>43202</v>
          </cell>
          <cell r="D1324" t="str">
            <v>MARISOL  HERNANDEZ PEREA</v>
          </cell>
          <cell r="E1324">
            <v>31</v>
          </cell>
          <cell r="F1324" t="str">
            <v>RESOLUCION</v>
          </cell>
          <cell r="G1324">
            <v>1844</v>
          </cell>
          <cell r="H1324">
            <v>43202</v>
          </cell>
          <cell r="I1324" t="str">
            <v>Asignacion del instrumento financiero a las familias ocupantes del predio que hayan superado la fase de verificacion dentro  del marco del Decreto 457 de 2017. LOCALIDAD: KENNEDY; BARRIO: VEREDITAS; ID: 2017-8-383720</v>
          </cell>
          <cell r="J1324">
            <v>54686940</v>
          </cell>
          <cell r="K1324">
            <v>0</v>
          </cell>
          <cell r="L1324">
            <v>54686940</v>
          </cell>
          <cell r="M1324">
            <v>0</v>
          </cell>
          <cell r="N1324">
            <v>54686940</v>
          </cell>
        </row>
        <row r="1325">
          <cell r="A1325">
            <v>602</v>
          </cell>
          <cell r="B1325">
            <v>1781</v>
          </cell>
          <cell r="C1325">
            <v>43202</v>
          </cell>
          <cell r="D1325" t="str">
            <v>LUIS ALBERTO FAJARDO</v>
          </cell>
          <cell r="E1325">
            <v>31</v>
          </cell>
          <cell r="F1325" t="str">
            <v>RESOLUCION</v>
          </cell>
          <cell r="G1325">
            <v>1856</v>
          </cell>
          <cell r="H1325">
            <v>43202</v>
          </cell>
          <cell r="I1325" t="str">
            <v>adquisición de mejoras Dto. 511 de 2010. LOCALIDAD: CIUDAD BOLIVAR; BARRIO:PARAISO QUIBA;ID: 2013-Q04-00402</v>
          </cell>
          <cell r="J1325">
            <v>22950000</v>
          </cell>
          <cell r="K1325">
            <v>0</v>
          </cell>
          <cell r="L1325">
            <v>22950000</v>
          </cell>
          <cell r="M1325">
            <v>0</v>
          </cell>
          <cell r="N1325">
            <v>22950000</v>
          </cell>
        </row>
        <row r="1326">
          <cell r="A1326">
            <v>607</v>
          </cell>
          <cell r="B1326">
            <v>1782</v>
          </cell>
          <cell r="C1326">
            <v>43202</v>
          </cell>
          <cell r="D1326" t="str">
            <v>MARISOL  AGREDO CLARO</v>
          </cell>
          <cell r="E1326">
            <v>31</v>
          </cell>
          <cell r="F1326" t="str">
            <v>RESOLUCION</v>
          </cell>
          <cell r="G1326">
            <v>1857</v>
          </cell>
          <cell r="H1326">
            <v>43202</v>
          </cell>
          <cell r="I1326" t="str">
            <v>adquisición predial Dto. 511 de 2010. LOCALIDAD: SAN CRISTOBAL; BARRIO:NUEVA GLORIA;ID: ID:  2015-Q20-01311</v>
          </cell>
          <cell r="J1326">
            <v>81785300</v>
          </cell>
          <cell r="K1326">
            <v>0</v>
          </cell>
          <cell r="L1326">
            <v>81785300</v>
          </cell>
          <cell r="M1326">
            <v>0</v>
          </cell>
          <cell r="N1326">
            <v>81785300</v>
          </cell>
        </row>
        <row r="1327">
          <cell r="A1327">
            <v>735</v>
          </cell>
          <cell r="B1327">
            <v>1783</v>
          </cell>
          <cell r="C1327">
            <v>43202</v>
          </cell>
          <cell r="D1327" t="str">
            <v>CARLOS ARTURO TAPIERO RUIZ</v>
          </cell>
          <cell r="E1327">
            <v>31</v>
          </cell>
          <cell r="F1327" t="str">
            <v>RESOLUCION</v>
          </cell>
          <cell r="G1327">
            <v>1839</v>
          </cell>
          <cell r="H1327">
            <v>43202</v>
          </cell>
          <cell r="I1327" t="str">
            <v>Asignacion del instrumento financiero a las familias ocupantes del predio que hayan superado la fase de verificacion dentro  del marco del Decreto 457 de 2017. LOCALIDAD: KENNEDY; BARRIO: VEREDITAS; ID: 2018-8-384314</v>
          </cell>
          <cell r="J1327">
            <v>54686940</v>
          </cell>
          <cell r="K1327">
            <v>0</v>
          </cell>
          <cell r="L1327">
            <v>54686940</v>
          </cell>
          <cell r="M1327">
            <v>0</v>
          </cell>
          <cell r="N1327">
            <v>54686940</v>
          </cell>
        </row>
        <row r="1328">
          <cell r="A1328">
            <v>733</v>
          </cell>
          <cell r="B1328">
            <v>1784</v>
          </cell>
          <cell r="C1328">
            <v>43202</v>
          </cell>
          <cell r="D1328" t="str">
            <v>ANGELICA PATRICIA VELASQUEZ</v>
          </cell>
          <cell r="E1328">
            <v>31</v>
          </cell>
          <cell r="F1328" t="str">
            <v>RESOLUCION</v>
          </cell>
          <cell r="G1328">
            <v>1845</v>
          </cell>
          <cell r="H1328">
            <v>43202</v>
          </cell>
          <cell r="I1328" t="str">
            <v>Asignacion del instrumento financiero a las familias ocupantes del predio que hayan superado la fase de verificacion dentro  del marco del Decreto 457 de 2017. LOCALIDAD: KENNEDY; BARRIO: VEREDITAS; ID: 2018-8-384304</v>
          </cell>
          <cell r="J1328">
            <v>54686940</v>
          </cell>
          <cell r="K1328">
            <v>0</v>
          </cell>
          <cell r="L1328">
            <v>54686940</v>
          </cell>
          <cell r="M1328">
            <v>0</v>
          </cell>
          <cell r="N1328">
            <v>54686940</v>
          </cell>
        </row>
        <row r="1329">
          <cell r="A1329">
            <v>744</v>
          </cell>
          <cell r="B1329">
            <v>1785</v>
          </cell>
          <cell r="C1329">
            <v>43202</v>
          </cell>
          <cell r="D1329" t="str">
            <v>LAURA CAMILA ESCOBAR QUINTERO</v>
          </cell>
          <cell r="E1329">
            <v>31</v>
          </cell>
          <cell r="F1329" t="str">
            <v>RESOLUCION</v>
          </cell>
          <cell r="G1329">
            <v>1846</v>
          </cell>
          <cell r="H1329">
            <v>43202</v>
          </cell>
          <cell r="I1329" t="str">
            <v>Asignacion del instrumento financiero a las familias ocupantes del predio que hayan superado la fase de verificacion dentro  del marco del Decreto 457 de 2017. LOCALIDAD: KENNEDY; BARRIO: VEREDITAS; ID: 2018-8-384307</v>
          </cell>
          <cell r="J1329">
            <v>54686940</v>
          </cell>
          <cell r="K1329">
            <v>0</v>
          </cell>
          <cell r="L1329">
            <v>54686940</v>
          </cell>
          <cell r="M1329">
            <v>0</v>
          </cell>
          <cell r="N1329">
            <v>54686940</v>
          </cell>
        </row>
        <row r="1330">
          <cell r="A1330">
            <v>722</v>
          </cell>
          <cell r="B1330">
            <v>1786</v>
          </cell>
          <cell r="C1330">
            <v>43202</v>
          </cell>
          <cell r="D1330" t="str">
            <v>MARIA DEL PILAR CORTES HERNANDEZ</v>
          </cell>
          <cell r="E1330">
            <v>31</v>
          </cell>
          <cell r="F1330" t="str">
            <v>RESOLUCION</v>
          </cell>
          <cell r="G1330">
            <v>1840</v>
          </cell>
          <cell r="H1330">
            <v>43202</v>
          </cell>
          <cell r="I1330" t="str">
            <v>Asignacion del instrumento financiero a las familias ocupantes del predio que hayan superado la fase de verificacion dentro  del marco del Decreto 457 de 2017. LOCALIDAD: KENNEDY; BARRIO: VEREDITAS; ID: 2017-8-383654</v>
          </cell>
          <cell r="J1330">
            <v>54686940</v>
          </cell>
          <cell r="K1330">
            <v>0</v>
          </cell>
          <cell r="L1330">
            <v>54686940</v>
          </cell>
          <cell r="M1330">
            <v>0</v>
          </cell>
          <cell r="N1330">
            <v>54686940</v>
          </cell>
        </row>
        <row r="1331">
          <cell r="A1331">
            <v>736</v>
          </cell>
          <cell r="B1331">
            <v>1787</v>
          </cell>
          <cell r="C1331">
            <v>43202</v>
          </cell>
          <cell r="D1331" t="str">
            <v>MISAEL  MARTIN</v>
          </cell>
          <cell r="E1331">
            <v>31</v>
          </cell>
          <cell r="F1331" t="str">
            <v>RESOLUCION</v>
          </cell>
          <cell r="G1331">
            <v>1847</v>
          </cell>
          <cell r="H1331">
            <v>43202</v>
          </cell>
          <cell r="I1331" t="str">
            <v>Asignacion del instrumento financiero a las familias ocupantes del predio que hayan superado la fase de verificacion dentro  del marco del Decreto 457 de 2017. LOCALIDAD: KENNEDY; BARRIO: VEREDITAS; ID: 2018-8-384305</v>
          </cell>
          <cell r="J1331">
            <v>54686940</v>
          </cell>
          <cell r="K1331">
            <v>0</v>
          </cell>
          <cell r="L1331">
            <v>54686940</v>
          </cell>
          <cell r="M1331">
            <v>0</v>
          </cell>
          <cell r="N1331">
            <v>54686940</v>
          </cell>
        </row>
        <row r="1332">
          <cell r="A1332">
            <v>732</v>
          </cell>
          <cell r="B1332">
            <v>1788</v>
          </cell>
          <cell r="C1332">
            <v>43202</v>
          </cell>
          <cell r="D1332" t="str">
            <v>OMAR  FRANCO MOLINA</v>
          </cell>
          <cell r="E1332">
            <v>31</v>
          </cell>
          <cell r="F1332" t="str">
            <v>RESOLUCION</v>
          </cell>
          <cell r="G1332">
            <v>1841</v>
          </cell>
          <cell r="H1332">
            <v>43202</v>
          </cell>
          <cell r="I1332" t="str">
            <v>Asignacion del instrumento financiero a las familias ocupantes del predio que hayan superado la fase de verificacion dentro  del marco del Decreto 457 de 2017. LOCALIDAD: KENNEDY; BARRIO: VEREDITAS; ID: 2018-8-384310</v>
          </cell>
          <cell r="J1332">
            <v>54686940</v>
          </cell>
          <cell r="K1332">
            <v>0</v>
          </cell>
          <cell r="L1332">
            <v>54686940</v>
          </cell>
          <cell r="M1332">
            <v>0</v>
          </cell>
          <cell r="N1332">
            <v>54686940</v>
          </cell>
        </row>
        <row r="1333">
          <cell r="A1333">
            <v>734</v>
          </cell>
          <cell r="B1333">
            <v>1789</v>
          </cell>
          <cell r="C1333">
            <v>43202</v>
          </cell>
          <cell r="D1333" t="str">
            <v>JANETH  GOMEZ TRIANA</v>
          </cell>
          <cell r="E1333">
            <v>31</v>
          </cell>
          <cell r="F1333" t="str">
            <v>RESOLUCION</v>
          </cell>
          <cell r="G1333">
            <v>1848</v>
          </cell>
          <cell r="H1333">
            <v>43202</v>
          </cell>
          <cell r="I1333" t="str">
            <v>Asignacion del instrumento financiero a las familias ocupantes del predio que hayan superado la fase de verificacion dentro  del marco del Decreto 457 de 2017. LOCALIDAD: KENNEDY; BARRIO: VEREDITAS; ID: 2018-8-384312</v>
          </cell>
          <cell r="J1333">
            <v>54686940</v>
          </cell>
          <cell r="K1333">
            <v>0</v>
          </cell>
          <cell r="L1333">
            <v>54686940</v>
          </cell>
          <cell r="M1333">
            <v>0</v>
          </cell>
          <cell r="N1333">
            <v>54686940</v>
          </cell>
        </row>
        <row r="1334">
          <cell r="A1334">
            <v>726</v>
          </cell>
          <cell r="B1334">
            <v>1790</v>
          </cell>
          <cell r="C1334">
            <v>43202</v>
          </cell>
          <cell r="D1334" t="str">
            <v>NINI JOHANNA OLIVEROS LIZCANO</v>
          </cell>
          <cell r="E1334">
            <v>31</v>
          </cell>
          <cell r="F1334" t="str">
            <v>RESOLUCION</v>
          </cell>
          <cell r="G1334">
            <v>1842</v>
          </cell>
          <cell r="H1334">
            <v>43202</v>
          </cell>
          <cell r="I1334" t="str">
            <v>Asignacion del instrumento financiero a las familias ocupantes del predio que hayan superado la fase de verificacion dentro  del marco del Decreto 457 de 2017. LOCALIDAD: KENNEDY; BARRIO: VEREDITAS; ID: 2018-08-384303</v>
          </cell>
          <cell r="J1334">
            <v>54686940</v>
          </cell>
          <cell r="K1334">
            <v>0</v>
          </cell>
          <cell r="L1334">
            <v>54686940</v>
          </cell>
          <cell r="M1334">
            <v>0</v>
          </cell>
          <cell r="N1334">
            <v>54686940</v>
          </cell>
        </row>
        <row r="1335">
          <cell r="A1335">
            <v>738</v>
          </cell>
          <cell r="B1335">
            <v>1791</v>
          </cell>
          <cell r="C1335">
            <v>43202</v>
          </cell>
          <cell r="D1335" t="str">
            <v>OSCAR HERNAN AGUILAR VARELA</v>
          </cell>
          <cell r="E1335">
            <v>31</v>
          </cell>
          <cell r="F1335" t="str">
            <v>RESOLUCION</v>
          </cell>
          <cell r="G1335">
            <v>1843</v>
          </cell>
          <cell r="H1335">
            <v>43202</v>
          </cell>
          <cell r="I1335" t="str">
            <v>Asignacion del instrumento financiero a las familias ocupantes del predio que hayan superado la fase de verificacion dentro  del marco del Decreto 457 de 2017. LOCALIDAD: KENNEDY; BARRIO: VEREDITAS; ID: 2018-8-384306</v>
          </cell>
          <cell r="J1335">
            <v>54686940</v>
          </cell>
          <cell r="K1335">
            <v>0</v>
          </cell>
          <cell r="L1335">
            <v>54686940</v>
          </cell>
          <cell r="M1335">
            <v>0</v>
          </cell>
          <cell r="N1335">
            <v>54686940</v>
          </cell>
        </row>
        <row r="1336">
          <cell r="A1336">
            <v>739</v>
          </cell>
          <cell r="B1336">
            <v>1792</v>
          </cell>
          <cell r="C1336">
            <v>43203</v>
          </cell>
          <cell r="D1336" t="str">
            <v>WILLIAM  VIUCHE CUPITRA</v>
          </cell>
          <cell r="E1336">
            <v>31</v>
          </cell>
          <cell r="F1336" t="str">
            <v>RESOLUCION</v>
          </cell>
          <cell r="G1336">
            <v>1862</v>
          </cell>
          <cell r="H1336">
            <v>43203</v>
          </cell>
          <cell r="I1336" t="str">
            <v>VUR de la actual vigencia.Dto 255 de 2013. LOCALIDAD:CIUDAD BOLIVAR; BARRIO:ESTRELLA DEL SUR; ID:2014-Q05-00840</v>
          </cell>
          <cell r="J1336">
            <v>39062100</v>
          </cell>
          <cell r="K1336">
            <v>0</v>
          </cell>
          <cell r="L1336">
            <v>39062100</v>
          </cell>
          <cell r="M1336">
            <v>0</v>
          </cell>
          <cell r="N1336">
            <v>39062100</v>
          </cell>
        </row>
        <row r="1337">
          <cell r="A1337">
            <v>760</v>
          </cell>
          <cell r="B1337">
            <v>1793</v>
          </cell>
          <cell r="C1337">
            <v>43203</v>
          </cell>
          <cell r="D1337" t="str">
            <v>MARIA CECILIA BERNAL</v>
          </cell>
          <cell r="E1337">
            <v>31</v>
          </cell>
          <cell r="F1337" t="str">
            <v>RESOLUCION</v>
          </cell>
          <cell r="G1337">
            <v>1863</v>
          </cell>
          <cell r="H1337">
            <v>43203</v>
          </cell>
          <cell r="I1337" t="str">
            <v>VUR de la actual vigencia.Dto 255 de 2013. LOCALIDAD:CIUDAD BOLIVAR; BARRIO:PARAISO QUIBA; ID:2015-Q04-03677</v>
          </cell>
          <cell r="J1337">
            <v>39062100</v>
          </cell>
          <cell r="K1337">
            <v>0</v>
          </cell>
          <cell r="L1337">
            <v>39062100</v>
          </cell>
          <cell r="M1337">
            <v>0</v>
          </cell>
          <cell r="N1337">
            <v>39062100</v>
          </cell>
        </row>
        <row r="1338">
          <cell r="A1338">
            <v>483</v>
          </cell>
          <cell r="B1338">
            <v>1798</v>
          </cell>
          <cell r="C1338">
            <v>43203</v>
          </cell>
          <cell r="D1338" t="str">
            <v>CAJA DE VIVIENDA POPULAR</v>
          </cell>
          <cell r="E1338">
            <v>1</v>
          </cell>
          <cell r="F1338" t="str">
            <v>RELACION DE AUTORIZACION</v>
          </cell>
          <cell r="G1338">
            <v>28</v>
          </cell>
          <cell r="H1338">
            <v>43203</v>
          </cell>
          <cell r="I1338" t="str">
            <v>PAGO DE SEGURIDAD SOCIAL Y PARAFISCALES DE FUNCIONARIOS DE PLANTA TEMPORAL DE LA DIRECCIÓN DE REASENTAMIENTOS DE LA CAJA DE LA VIVIENDA POPULAR  MES MARZO DE 2018"</v>
          </cell>
          <cell r="J1338">
            <v>35468800</v>
          </cell>
          <cell r="K1338">
            <v>0</v>
          </cell>
          <cell r="L1338">
            <v>35468800</v>
          </cell>
          <cell r="M1338">
            <v>35468800</v>
          </cell>
          <cell r="N1338">
            <v>0</v>
          </cell>
        </row>
        <row r="1339">
          <cell r="A1339">
            <v>670</v>
          </cell>
          <cell r="B1339">
            <v>1807</v>
          </cell>
          <cell r="C1339">
            <v>43207</v>
          </cell>
          <cell r="D1339" t="str">
            <v>JHONATAN HARLEY PINZON AVILA</v>
          </cell>
          <cell r="E1339">
            <v>31</v>
          </cell>
          <cell r="F1339" t="str">
            <v>RESOLUCION</v>
          </cell>
          <cell r="G1339">
            <v>1865</v>
          </cell>
          <cell r="H1339">
            <v>43207</v>
          </cell>
          <cell r="I1339" t="str">
            <v>Asignacion del instrumento financiero a las familias ocupantes del predio que hayan superado la fase de verificacion dentro  del marco del Decreto 457 de 2017. LOCALIDAD: KENNEDY; BARRIO: VEREDITAS; ID: 2017-8-383676</v>
          </cell>
          <cell r="J1339">
            <v>54686940</v>
          </cell>
          <cell r="K1339">
            <v>0</v>
          </cell>
          <cell r="L1339">
            <v>54686940</v>
          </cell>
          <cell r="M1339">
            <v>0</v>
          </cell>
          <cell r="N1339">
            <v>54686940</v>
          </cell>
        </row>
        <row r="1340">
          <cell r="A1340">
            <v>725</v>
          </cell>
          <cell r="B1340">
            <v>1808</v>
          </cell>
          <cell r="C1340">
            <v>43207</v>
          </cell>
          <cell r="D1340" t="str">
            <v>YENIFER VALENTINA JAIMES AGUILAR</v>
          </cell>
          <cell r="E1340">
            <v>31</v>
          </cell>
          <cell r="F1340" t="str">
            <v>RESOLUCION</v>
          </cell>
          <cell r="G1340">
            <v>1864</v>
          </cell>
          <cell r="H1340">
            <v>43207</v>
          </cell>
          <cell r="I1340" t="str">
            <v>Asignacion del instrumento financiero a las familias ocupantes del predio que hayan superado la fase de verificacion dentro  del marco del Decreto 457 de 2017. LOCALIDAD: KENNEDY; BARRIO: VEREDITAS; ID: 2018-08-384302</v>
          </cell>
          <cell r="J1340">
            <v>54686940</v>
          </cell>
          <cell r="K1340">
            <v>0</v>
          </cell>
          <cell r="L1340">
            <v>54686940</v>
          </cell>
          <cell r="M1340">
            <v>0</v>
          </cell>
          <cell r="N1340">
            <v>54686940</v>
          </cell>
        </row>
        <row r="1341">
          <cell r="A1341">
            <v>798</v>
          </cell>
          <cell r="B1341">
            <v>1814</v>
          </cell>
          <cell r="C1341">
            <v>43209</v>
          </cell>
          <cell r="D1341" t="str">
            <v>JESUS MARIA GONZALEZ RODRIGUEZ</v>
          </cell>
          <cell r="E1341">
            <v>31</v>
          </cell>
          <cell r="F1341" t="str">
            <v>RESOLUCION</v>
          </cell>
          <cell r="G1341">
            <v>1894</v>
          </cell>
          <cell r="H1341">
            <v>43209</v>
          </cell>
          <cell r="I1341" t="str">
            <v>Cumplimiento de la orden impartida por el Juzgado Treinta y Seis  Penal del Circuito con Función de Conocimiento de Bogotá D.C, mediante providencia del 09 de abril de 2018, notificada a la Caja de la Vivienda Popular el 17 de abril de 2018, en el marco de la Acción de Tutela .2018 ¿ 0013, instaurada por el señor JESÚS MARÍA GONZÁLEZ RODRÍGUEZ.</v>
          </cell>
          <cell r="J1341">
            <v>406560</v>
          </cell>
          <cell r="K1341">
            <v>0</v>
          </cell>
          <cell r="L1341">
            <v>406560</v>
          </cell>
          <cell r="M1341">
            <v>406560</v>
          </cell>
          <cell r="N1341">
            <v>0</v>
          </cell>
        </row>
        <row r="1342">
          <cell r="A1342">
            <v>745</v>
          </cell>
          <cell r="B1342">
            <v>1815</v>
          </cell>
          <cell r="C1342">
            <v>43209</v>
          </cell>
          <cell r="D1342" t="str">
            <v>MAUREN  SIERRA FONSECA</v>
          </cell>
          <cell r="E1342">
            <v>31</v>
          </cell>
          <cell r="F1342" t="str">
            <v>RESOLUCION</v>
          </cell>
          <cell r="G1342">
            <v>1872</v>
          </cell>
          <cell r="H1342">
            <v>43209</v>
          </cell>
          <cell r="I1342" t="str">
            <v>Asignacion del instrumento financiero a las familias ocupantes del predio que hayan superado la fase de verificacion dentro  del marco del Decreto 457 de 2017. LOCALIDAD: KENNEDY; BARRIO: VEREDITAS; ID: 2018-8-384311</v>
          </cell>
          <cell r="J1342">
            <v>54686940</v>
          </cell>
          <cell r="K1342">
            <v>0</v>
          </cell>
          <cell r="L1342">
            <v>54686940</v>
          </cell>
          <cell r="M1342">
            <v>0</v>
          </cell>
          <cell r="N1342">
            <v>54686940</v>
          </cell>
        </row>
        <row r="1343">
          <cell r="A1343">
            <v>750</v>
          </cell>
          <cell r="B1343">
            <v>1816</v>
          </cell>
          <cell r="C1343">
            <v>43209</v>
          </cell>
          <cell r="D1343" t="str">
            <v>JOSE ARMANDO PAIBA</v>
          </cell>
          <cell r="E1343">
            <v>31</v>
          </cell>
          <cell r="F1343" t="str">
            <v>RESOLUCION</v>
          </cell>
          <cell r="G1343">
            <v>1870</v>
          </cell>
          <cell r="H1343">
            <v>43209</v>
          </cell>
          <cell r="I1343" t="str">
            <v>Asignacion del instrumento financiero a las familias ocupantes del predio que hayan superado la fase de verificacion dentro  del marco del Decreto 457 de 2017. LOCALIDAD: KENNEDY; BARRIO: VEREDITAS; ID: 2018-08-384353</v>
          </cell>
          <cell r="J1343">
            <v>54686940</v>
          </cell>
          <cell r="K1343">
            <v>0</v>
          </cell>
          <cell r="L1343">
            <v>54686940</v>
          </cell>
          <cell r="M1343">
            <v>0</v>
          </cell>
          <cell r="N1343">
            <v>54686940</v>
          </cell>
        </row>
        <row r="1344">
          <cell r="A1344">
            <v>723</v>
          </cell>
          <cell r="B1344">
            <v>1817</v>
          </cell>
          <cell r="C1344">
            <v>43209</v>
          </cell>
          <cell r="D1344" t="str">
            <v>LUZ AIDEE CALDERÓN ORTIZ</v>
          </cell>
          <cell r="E1344">
            <v>31</v>
          </cell>
          <cell r="F1344" t="str">
            <v>RESOLUCION</v>
          </cell>
          <cell r="G1344">
            <v>1873</v>
          </cell>
          <cell r="H1344">
            <v>43209</v>
          </cell>
          <cell r="I1344" t="str">
            <v>Asignacion del instrumento financiero a las familias ocupantes del predio que hayan superado la fase de verificacion dentro  del marco del Decreto 457 de 2017. LOCALIDAD: KENNEDY; BARRIO: VEREDITAS; ID: 2018-08-384309</v>
          </cell>
          <cell r="J1344">
            <v>54686940</v>
          </cell>
          <cell r="K1344">
            <v>0</v>
          </cell>
          <cell r="L1344">
            <v>54686940</v>
          </cell>
          <cell r="M1344">
            <v>0</v>
          </cell>
          <cell r="N1344">
            <v>54686940</v>
          </cell>
        </row>
        <row r="1345">
          <cell r="A1345">
            <v>649</v>
          </cell>
          <cell r="B1345">
            <v>1818</v>
          </cell>
          <cell r="C1345">
            <v>43209</v>
          </cell>
          <cell r="D1345" t="str">
            <v>MARIA ANGELICA MARTINEZ JIMENEZ</v>
          </cell>
          <cell r="E1345">
            <v>31</v>
          </cell>
          <cell r="F1345" t="str">
            <v>RESOLUCION</v>
          </cell>
          <cell r="G1345">
            <v>1753</v>
          </cell>
          <cell r="H1345">
            <v>43209</v>
          </cell>
          <cell r="I1345" t="str">
            <v>AYUDA TEMPORAL A LAS FAMILIAS DE VARIAS LOCALIDADES, PARA LA RELOCALIZACIÓN DE HOGARES LOCALIZADOS EN ZONAS DE ALTO RIESGO NO MITIGABLE ID: 2015-Q04-01467, LOCALIDAD: 19 CIUDAD BOLIVAR, UPZ:67 LUCERO, SECTOR: PEÑA COLORADA</v>
          </cell>
          <cell r="J1345">
            <v>4570263</v>
          </cell>
          <cell r="K1345">
            <v>0</v>
          </cell>
          <cell r="L1345">
            <v>4570263</v>
          </cell>
          <cell r="M1345">
            <v>0</v>
          </cell>
          <cell r="N1345">
            <v>4570263</v>
          </cell>
        </row>
        <row r="1346">
          <cell r="A1346">
            <v>714</v>
          </cell>
          <cell r="B1346">
            <v>1819</v>
          </cell>
          <cell r="C1346">
            <v>43209</v>
          </cell>
          <cell r="D1346" t="str">
            <v>LORENA  CORTES VILLANUEVA</v>
          </cell>
          <cell r="E1346">
            <v>31</v>
          </cell>
          <cell r="F1346" t="str">
            <v>RESOLUCION</v>
          </cell>
          <cell r="G1346">
            <v>1871</v>
          </cell>
          <cell r="H1346">
            <v>43209</v>
          </cell>
          <cell r="I1346" t="str">
            <v>Asignacion del instrumento financiero a las familias ocupantes del predio que hayan superado la fase de verificacion dentro  del marco del Decreto 457 de 2017. LOCALIDAD: KENNEDY; BARRIO: VEREDITAS; ID: 2018-8-15298</v>
          </cell>
          <cell r="J1346">
            <v>54686940</v>
          </cell>
          <cell r="K1346">
            <v>0</v>
          </cell>
          <cell r="L1346">
            <v>54686940</v>
          </cell>
          <cell r="M1346">
            <v>0</v>
          </cell>
          <cell r="N1346">
            <v>54686940</v>
          </cell>
        </row>
        <row r="1347">
          <cell r="A1347">
            <v>724</v>
          </cell>
          <cell r="B1347">
            <v>1824</v>
          </cell>
          <cell r="C1347">
            <v>43210</v>
          </cell>
          <cell r="D1347" t="str">
            <v>FERNANDO  REYES LOZANO</v>
          </cell>
          <cell r="E1347">
            <v>31</v>
          </cell>
          <cell r="F1347" t="str">
            <v>RESOLUCION</v>
          </cell>
          <cell r="G1347">
            <v>1878</v>
          </cell>
          <cell r="H1347">
            <v>43210</v>
          </cell>
          <cell r="I1347" t="str">
            <v>Asignacion del instrumento financiero a las familias ocupantes del predio que hayan superado la fase de verificacion dentro  del marco del Decreto 457 de 2017. LOCALIDAD: KENNEDY; BARRIO: VEREDITAS; ID: 2017-8-383678</v>
          </cell>
          <cell r="J1347">
            <v>54686940</v>
          </cell>
          <cell r="K1347">
            <v>0</v>
          </cell>
          <cell r="L1347">
            <v>54686940</v>
          </cell>
          <cell r="M1347">
            <v>0</v>
          </cell>
          <cell r="N1347">
            <v>54686940</v>
          </cell>
        </row>
        <row r="1348">
          <cell r="A1348">
            <v>566</v>
          </cell>
          <cell r="B1348">
            <v>1825</v>
          </cell>
          <cell r="C1348">
            <v>43210</v>
          </cell>
          <cell r="D1348" t="str">
            <v>AMANDA  ROMERO ESPAÑA</v>
          </cell>
          <cell r="E1348">
            <v>31</v>
          </cell>
          <cell r="F1348" t="str">
            <v>RESOLUCION</v>
          </cell>
          <cell r="G1348">
            <v>1879</v>
          </cell>
          <cell r="H1348">
            <v>43210</v>
          </cell>
          <cell r="I1348" t="str">
            <v>Adquisición predial Dto. 511 de 2010. LOCALIDAD: SAN CRISTOBAL; BARRIO:SAN ISIDRO II SECTOR;ID: ID: 2011-4-13158</v>
          </cell>
          <cell r="J1348">
            <v>8832000</v>
          </cell>
          <cell r="K1348">
            <v>0</v>
          </cell>
          <cell r="L1348">
            <v>8832000</v>
          </cell>
          <cell r="M1348">
            <v>0</v>
          </cell>
          <cell r="N1348">
            <v>8832000</v>
          </cell>
        </row>
        <row r="1349">
          <cell r="A1349">
            <v>751</v>
          </cell>
          <cell r="B1349">
            <v>1826</v>
          </cell>
          <cell r="C1349">
            <v>43210</v>
          </cell>
          <cell r="D1349" t="str">
            <v>ANGELICA ANDREA CORTES</v>
          </cell>
          <cell r="E1349">
            <v>31</v>
          </cell>
          <cell r="F1349" t="str">
            <v>RESOLUCION</v>
          </cell>
          <cell r="G1349">
            <v>1876</v>
          </cell>
          <cell r="H1349">
            <v>43210</v>
          </cell>
          <cell r="I1349" t="str">
            <v>Asignacion del instrumento financiero a las familias ocupantes del predio que hayan superado la fase de verificacion dentro  del marco del Decreto 457 de 2017. LOCALIDAD: KENNEDY; BARRIO: VEREDITAS; ID: 2018-08-384354</v>
          </cell>
          <cell r="J1349">
            <v>54686940</v>
          </cell>
          <cell r="K1349">
            <v>0</v>
          </cell>
          <cell r="L1349">
            <v>54686940</v>
          </cell>
          <cell r="M1349">
            <v>0</v>
          </cell>
          <cell r="N1349">
            <v>54686940</v>
          </cell>
        </row>
        <row r="1350">
          <cell r="A1350">
            <v>567</v>
          </cell>
          <cell r="B1350">
            <v>1827</v>
          </cell>
          <cell r="C1350">
            <v>43210</v>
          </cell>
          <cell r="D1350" t="str">
            <v>YOLANDA  TOLEDO GONZALEZ</v>
          </cell>
          <cell r="E1350">
            <v>31</v>
          </cell>
          <cell r="F1350" t="str">
            <v>RESOLUCION</v>
          </cell>
          <cell r="G1350">
            <v>1881</v>
          </cell>
          <cell r="H1350">
            <v>43210</v>
          </cell>
          <cell r="I1350" t="str">
            <v>adquisición predial Dto. 511 de 2010. LOCALIDAD: CIUDAD BOLIVAR; BARRIO:VILLAS DE DIAMANTE;ID: 2016-19-14924</v>
          </cell>
          <cell r="J1350">
            <v>39873100</v>
          </cell>
          <cell r="K1350">
            <v>0</v>
          </cell>
          <cell r="L1350">
            <v>39873100</v>
          </cell>
          <cell r="M1350">
            <v>0</v>
          </cell>
          <cell r="N1350">
            <v>39873100</v>
          </cell>
        </row>
        <row r="1351">
          <cell r="A1351">
            <v>720</v>
          </cell>
          <cell r="B1351">
            <v>1828</v>
          </cell>
          <cell r="C1351">
            <v>43210</v>
          </cell>
          <cell r="D1351" t="str">
            <v>NESTOR FABIO CASTAÑO GALVIS</v>
          </cell>
          <cell r="E1351">
            <v>31</v>
          </cell>
          <cell r="F1351" t="str">
            <v>RESOLUCION</v>
          </cell>
          <cell r="G1351">
            <v>1893</v>
          </cell>
          <cell r="H1351">
            <v>43210</v>
          </cell>
          <cell r="I1351" t="str">
            <v>Asignacion del instrumento financiero a las familias ocupantes del predio que hayan superado la fase de verificacion dentro  del marco del Decreto 457 de 2017. LOCALIDAD: KENNEDY; BARRIO: VEREDITAS; ID: 2018-8-384293</v>
          </cell>
          <cell r="J1351">
            <v>54686940</v>
          </cell>
          <cell r="K1351">
            <v>0</v>
          </cell>
          <cell r="L1351">
            <v>54686940</v>
          </cell>
          <cell r="M1351">
            <v>0</v>
          </cell>
          <cell r="N1351">
            <v>54686940</v>
          </cell>
        </row>
        <row r="1352">
          <cell r="A1352">
            <v>729</v>
          </cell>
          <cell r="B1352">
            <v>1829</v>
          </cell>
          <cell r="C1352">
            <v>43210</v>
          </cell>
          <cell r="D1352" t="str">
            <v>JORGE REINEL LESMES</v>
          </cell>
          <cell r="E1352">
            <v>31</v>
          </cell>
          <cell r="F1352" t="str">
            <v>RESOLUCION</v>
          </cell>
          <cell r="G1352">
            <v>1877</v>
          </cell>
          <cell r="H1352">
            <v>43210</v>
          </cell>
          <cell r="I1352" t="str">
            <v>Asignacion del instrumento financiero a las familias ocupantes del predio que hayan superado la fase de verificacion dentro  del marco del Decreto 457 de 2017. LOCALIDAD: KENNEDY; BARRIO: VEREDITAS; ID: 2017-8-383790</v>
          </cell>
          <cell r="J1352">
            <v>54686940</v>
          </cell>
          <cell r="K1352">
            <v>0</v>
          </cell>
          <cell r="L1352">
            <v>54686940</v>
          </cell>
          <cell r="M1352">
            <v>0</v>
          </cell>
          <cell r="N1352">
            <v>54686940</v>
          </cell>
        </row>
        <row r="1353">
          <cell r="A1353">
            <v>483</v>
          </cell>
          <cell r="B1353">
            <v>1836</v>
          </cell>
          <cell r="C1353">
            <v>43213</v>
          </cell>
          <cell r="D1353" t="str">
            <v>CAJA DE VIVIENDA POPULAR</v>
          </cell>
          <cell r="E1353">
            <v>1</v>
          </cell>
          <cell r="F1353" t="str">
            <v>RELACION DE AUTORIZACION</v>
          </cell>
          <cell r="G1353">
            <v>31</v>
          </cell>
          <cell r="H1353">
            <v>43213</v>
          </cell>
          <cell r="I1353" t="str">
            <v>PAGO DE NÓMINA DEL MES DE ABRIL 2018 DE LA PLANTA TEMPORAL, PROYECTO 3075"</v>
          </cell>
          <cell r="J1353">
            <v>112968667</v>
          </cell>
          <cell r="K1353">
            <v>0</v>
          </cell>
          <cell r="L1353">
            <v>112968667</v>
          </cell>
          <cell r="M1353">
            <v>112968667</v>
          </cell>
          <cell r="N1353">
            <v>0</v>
          </cell>
        </row>
        <row r="1354">
          <cell r="A1354">
            <v>766</v>
          </cell>
          <cell r="B1354">
            <v>1843</v>
          </cell>
          <cell r="C1354">
            <v>43215</v>
          </cell>
          <cell r="D1354" t="str">
            <v>JHON FREDY PINZON GOMEZ</v>
          </cell>
          <cell r="E1354">
            <v>31</v>
          </cell>
          <cell r="F1354" t="str">
            <v>RESOLUCION</v>
          </cell>
          <cell r="G1354">
            <v>1931</v>
          </cell>
          <cell r="H1354">
            <v>43215</v>
          </cell>
          <cell r="I1354" t="str">
            <v>Asignacion del instrumento financiero a las familias ocupantes del predio que hayan superado la fase de verificacion dentro  del marco del Decreto 457 de 2017. LOCALIDAD: KENNEDY; BARRIO: VEREDITAS; ID: 2018-08-384315</v>
          </cell>
          <cell r="J1354">
            <v>54686940</v>
          </cell>
          <cell r="K1354">
            <v>0</v>
          </cell>
          <cell r="L1354">
            <v>54686940</v>
          </cell>
          <cell r="M1354">
            <v>0</v>
          </cell>
          <cell r="N1354">
            <v>54686940</v>
          </cell>
        </row>
        <row r="1355">
          <cell r="A1355">
            <v>773</v>
          </cell>
          <cell r="B1355">
            <v>1844</v>
          </cell>
          <cell r="C1355">
            <v>43216</v>
          </cell>
          <cell r="D1355" t="str">
            <v>MIGUEL AUGUSTO BOBADILLA</v>
          </cell>
          <cell r="E1355">
            <v>31</v>
          </cell>
          <cell r="F1355" t="str">
            <v>RESOLUCION</v>
          </cell>
          <cell r="G1355">
            <v>1934</v>
          </cell>
          <cell r="H1355">
            <v>43216</v>
          </cell>
          <cell r="I1355" t="str">
            <v>VUR de la actual vigencia.Dto 255 de 2013. LOCALIDAD:SAN CRISTOBAL; BARRIO:LOS LIBERTADORES; ID:2017-04-14979.</v>
          </cell>
          <cell r="J1355">
            <v>39062100</v>
          </cell>
          <cell r="K1355">
            <v>0</v>
          </cell>
          <cell r="L1355">
            <v>39062100</v>
          </cell>
          <cell r="M1355">
            <v>0</v>
          </cell>
          <cell r="N1355">
            <v>39062100</v>
          </cell>
        </row>
        <row r="1356">
          <cell r="A1356">
            <v>562</v>
          </cell>
          <cell r="B1356">
            <v>1845</v>
          </cell>
          <cell r="C1356">
            <v>43216</v>
          </cell>
          <cell r="D1356" t="str">
            <v>LUZ ENITH OSORIO GUTIERREZ</v>
          </cell>
          <cell r="E1356">
            <v>31</v>
          </cell>
          <cell r="F1356" t="str">
            <v>RESOLUCION</v>
          </cell>
          <cell r="G1356">
            <v>1901</v>
          </cell>
          <cell r="H1356">
            <v>43216</v>
          </cell>
          <cell r="I1356" t="str">
            <v>Adquisición de mejoras Dto. 511 de 2010. LOCALIDAD: CIUDAD BOLIVAR; BARRIO:SANTA VIVIANA;ID: 2003-19-5088</v>
          </cell>
          <cell r="J1356">
            <v>6163200</v>
          </cell>
          <cell r="K1356">
            <v>0</v>
          </cell>
          <cell r="L1356">
            <v>6163200</v>
          </cell>
          <cell r="M1356">
            <v>0</v>
          </cell>
          <cell r="N1356">
            <v>6163200</v>
          </cell>
        </row>
        <row r="1357">
          <cell r="A1357">
            <v>786</v>
          </cell>
          <cell r="B1357">
            <v>1846</v>
          </cell>
          <cell r="C1357">
            <v>43216</v>
          </cell>
          <cell r="D1357" t="str">
            <v>HERNAN  PULIDO GALINDO</v>
          </cell>
          <cell r="E1357">
            <v>31</v>
          </cell>
          <cell r="F1357" t="str">
            <v>RESOLUCION</v>
          </cell>
          <cell r="G1357">
            <v>1933</v>
          </cell>
          <cell r="H1357">
            <v>43216</v>
          </cell>
          <cell r="I1357" t="str">
            <v>VUR de la actual vigencia.Dto 255 de 2013. LOCALIDAD:CIUDAD BOLIVAR; BARRIO:BELLA FLOR SUR; ID:2015-Q03-03337</v>
          </cell>
          <cell r="J1357">
            <v>39062100</v>
          </cell>
          <cell r="K1357">
            <v>0</v>
          </cell>
          <cell r="L1357">
            <v>39062100</v>
          </cell>
          <cell r="M1357">
            <v>0</v>
          </cell>
          <cell r="N1357">
            <v>39062100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Prestación de servicios profesionales para realizar el acompañamiento jurídico en asuntos relacionados con el manejo y administración de bienes inmuebles que requiera la Caja de la Vivienda Popular.</v>
          </cell>
        </row>
        <row r="27">
          <cell r="D27" t="str">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Contratar el suministro de dotación del vestido labor y calzado para los funcionarios de la Caja de la Vivienda Popular durante la vigencia 2018 a través del sistema de bonos, vales o tarjetas canjeables.</v>
          </cell>
        </row>
        <row r="21">
          <cell r="B21" t="str">
            <v>Selección abreviada de menor cuantia</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 BASE."/>
      <sheetName val="FOR - 001"/>
      <sheetName val="FOR - 002"/>
      <sheetName val="FOR - 003"/>
      <sheetName val="FOR - 004"/>
      <sheetName val="FOR - 005"/>
      <sheetName val="FOR - 006"/>
      <sheetName val="FOR - 007"/>
      <sheetName val="FOR - 008"/>
      <sheetName val="FOR - 009"/>
      <sheetName val="FOR - 010"/>
      <sheetName val="FOR - 011"/>
      <sheetName val="FOR - 012"/>
      <sheetName val="FOR - 013"/>
      <sheetName val="FOR - 014"/>
      <sheetName val="FOR - 015"/>
      <sheetName val="FOR - 016"/>
      <sheetName val="FOR - 017"/>
      <sheetName val="FOR - 018"/>
      <sheetName val="FOR - 019"/>
      <sheetName val="FOR - 020"/>
      <sheetName val="FOR - 021"/>
      <sheetName val="FOR - 022"/>
      <sheetName val="FOR - 023"/>
      <sheetName val="FOR - 024"/>
      <sheetName val="FOR - 025"/>
      <sheetName val="FOR - 026"/>
      <sheetName val="FOR - 027"/>
      <sheetName val="FOR - 028"/>
      <sheetName val="FOR - 029"/>
      <sheetName val="FOR - 030"/>
      <sheetName val="FOR - 031"/>
      <sheetName val="FOR - 032"/>
      <sheetName val="FOR - 033"/>
      <sheetName val="FOR - 034"/>
      <sheetName val="FOR - 035"/>
      <sheetName val="FOR - 036"/>
      <sheetName val="FOR - 037"/>
      <sheetName val="FOR - 038"/>
      <sheetName val="FOR - 039"/>
      <sheetName val="FOR - 040"/>
      <sheetName val="FOR - 041"/>
      <sheetName val="FOR - 042"/>
      <sheetName val="FOR - 043"/>
      <sheetName val="FOR - 044"/>
      <sheetName val="FOR - 045"/>
      <sheetName val="FOR - 046"/>
      <sheetName val="FOR - 047"/>
      <sheetName val="FOR - 048"/>
      <sheetName val="FOR - 050"/>
      <sheetName val="FOR - 049"/>
      <sheetName val="FOR - 051"/>
      <sheetName val="FOR - 052"/>
      <sheetName val="FOR - 053"/>
      <sheetName val="FOR - 054"/>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32">
          <cell r="L32" t="str">
            <v>0004-Otros Gastos Operativos</v>
          </cell>
        </row>
      </sheetData>
      <sheetData sheetId="48"/>
      <sheetData sheetId="49"/>
      <sheetData sheetId="50"/>
      <sheetData sheetId="51">
        <row r="20">
          <cell r="L20" t="str">
            <v xml:space="preserve">
Prestación del servicio integral de fotocopiado, anillado y fotoplanos que requiera la Caja de la Vivienda Popular, de acuerdo con las especificaciones técnicas.</v>
          </cell>
        </row>
      </sheetData>
      <sheetData sheetId="52"/>
      <sheetData sheetId="53"/>
      <sheetData sheetId="54"/>
      <sheetData sheetId="5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Adición y prórroga al contrato 419 de 2017 cuyo objeto es "Prestar el servicio de mensajería expresa y motorizada para la recolección, transporte y entrega de la correspondencia de la Caja de la Vivienda Popular."</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2CB8B-FC84-4FA1-8EED-DFD6E08F41B0}">
  <dimension ref="A1:BW1041"/>
  <sheetViews>
    <sheetView tabSelected="1" workbookViewId="0">
      <selection activeCell="AQ5" sqref="AQ5"/>
    </sheetView>
  </sheetViews>
  <sheetFormatPr baseColWidth="10" defaultRowHeight="15.75" x14ac:dyDescent="0.25"/>
  <cols>
    <col min="1" max="1" width="7.7109375" style="7" customWidth="1"/>
    <col min="2" max="2" width="10.140625" style="8" bestFit="1" customWidth="1"/>
    <col min="3" max="3" width="18.140625" style="9" customWidth="1"/>
    <col min="4" max="4" width="23.140625" style="9" customWidth="1"/>
    <col min="5" max="5" width="27.5703125" style="9" customWidth="1"/>
    <col min="6" max="6" width="11.42578125" style="8"/>
    <col min="7" max="7" width="17" style="9" customWidth="1"/>
    <col min="8" max="8" width="22.28515625" style="9" customWidth="1"/>
    <col min="9" max="9" width="18" style="9" customWidth="1"/>
    <col min="10" max="10" width="12.7109375" style="9" customWidth="1"/>
    <col min="11" max="11" width="17.28515625" style="9" customWidth="1"/>
    <col min="12" max="12" width="19.85546875" style="9" customWidth="1"/>
    <col min="13" max="15" width="15.28515625" style="9" customWidth="1"/>
    <col min="16" max="16" width="35.28515625" style="10" customWidth="1"/>
    <col min="17" max="17" width="24.42578125" style="11" customWidth="1"/>
    <col min="18" max="18" width="12.85546875" style="8" customWidth="1"/>
    <col min="19" max="19" width="18.85546875" style="17" customWidth="1"/>
    <col min="20" max="20" width="19.5703125" style="10" customWidth="1"/>
    <col min="21" max="21" width="17.7109375" style="9" customWidth="1"/>
    <col min="22" max="22" width="13" style="9" customWidth="1"/>
    <col min="23" max="23" width="7.28515625" style="12" customWidth="1"/>
    <col min="24" max="24" width="12.28515625" style="13" customWidth="1"/>
    <col min="25" max="25" width="13.7109375" style="14" customWidth="1"/>
    <col min="26" max="26" width="15.85546875" style="11" customWidth="1"/>
    <col min="27" max="27" width="11.85546875" style="11" customWidth="1"/>
    <col min="28" max="28" width="8.28515625" style="15" customWidth="1"/>
    <col min="29" max="29" width="10.5703125" style="10" customWidth="1"/>
    <col min="30" max="30" width="16.42578125" style="11" customWidth="1"/>
    <col min="31" max="31" width="18" style="10" customWidth="1"/>
    <col min="32" max="32" width="14.5703125" style="8" customWidth="1"/>
    <col min="33" max="33" width="14.140625" style="8" customWidth="1"/>
    <col min="34" max="34" width="19.42578125" style="8" customWidth="1"/>
    <col min="35" max="35" width="16.140625" style="8" customWidth="1"/>
    <col min="36" max="36" width="13.140625" style="8" customWidth="1"/>
    <col min="37" max="37" width="19.5703125" style="10" customWidth="1"/>
    <col min="38" max="38" width="18.140625" style="16" customWidth="1"/>
    <col min="39" max="39" width="22.140625" style="10" customWidth="1"/>
    <col min="40" max="40" width="13.85546875" style="10" bestFit="1" customWidth="1"/>
    <col min="41" max="41" width="16.5703125" style="10" bestFit="1" customWidth="1"/>
    <col min="42" max="42" width="18.140625" style="5" customWidth="1"/>
    <col min="43" max="43" width="16.140625" style="5" customWidth="1"/>
    <col min="44" max="44" width="15.42578125" style="5" customWidth="1"/>
    <col min="45" max="45" width="17.5703125" style="5" customWidth="1"/>
    <col min="46" max="46" width="19.140625" style="5" customWidth="1"/>
    <col min="47" max="75" width="11.42578125" style="5"/>
    <col min="76" max="16384" width="11.42578125" style="9"/>
  </cols>
  <sheetData>
    <row r="1" spans="1:75" s="2" customFormat="1" ht="16.5" customHeight="1" x14ac:dyDescent="0.25">
      <c r="A1" s="359"/>
      <c r="B1" s="359"/>
      <c r="C1" s="359"/>
      <c r="D1" s="362" t="s">
        <v>1791</v>
      </c>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4"/>
      <c r="AM1" s="363"/>
      <c r="AN1" s="363"/>
      <c r="AO1" s="363"/>
      <c r="AP1" s="365"/>
      <c r="AQ1" s="360" t="s">
        <v>0</v>
      </c>
      <c r="AR1" s="360"/>
      <c r="AS1" s="360"/>
      <c r="AT1" s="360"/>
    </row>
    <row r="2" spans="1:75" s="2" customFormat="1" ht="21" customHeight="1" x14ac:dyDescent="0.25">
      <c r="A2" s="359"/>
      <c r="B2" s="359"/>
      <c r="C2" s="359"/>
      <c r="D2" s="362"/>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4"/>
      <c r="AM2" s="363"/>
      <c r="AN2" s="363"/>
      <c r="AO2" s="363"/>
      <c r="AP2" s="365"/>
      <c r="AQ2" s="360" t="s">
        <v>1789</v>
      </c>
      <c r="AR2" s="360"/>
      <c r="AS2" s="361" t="s">
        <v>1</v>
      </c>
      <c r="AT2" s="361"/>
    </row>
    <row r="3" spans="1:75" s="2" customFormat="1" ht="37.5" customHeight="1" x14ac:dyDescent="0.25">
      <c r="A3" s="359"/>
      <c r="B3" s="359"/>
      <c r="C3" s="359"/>
      <c r="D3" s="366"/>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8"/>
      <c r="AM3" s="367"/>
      <c r="AN3" s="367"/>
      <c r="AO3" s="367"/>
      <c r="AP3" s="369"/>
      <c r="AQ3" s="360" t="s">
        <v>1790</v>
      </c>
      <c r="AR3" s="360"/>
      <c r="AS3" s="360"/>
      <c r="AT3" s="360"/>
    </row>
    <row r="4" spans="1:75" s="2" customFormat="1" ht="18.75" customHeight="1" x14ac:dyDescent="0.25">
      <c r="A4" s="370" t="s">
        <v>2</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1" t="s">
        <v>3</v>
      </c>
      <c r="AR4" s="371"/>
      <c r="AS4" s="371"/>
      <c r="AT4" s="37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row>
    <row r="5" spans="1:75" s="4" customFormat="1" ht="89.25" x14ac:dyDescent="0.25">
      <c r="A5" s="93" t="s">
        <v>4</v>
      </c>
      <c r="B5" s="93" t="s">
        <v>5</v>
      </c>
      <c r="C5" s="93" t="s">
        <v>6</v>
      </c>
      <c r="D5" s="93" t="s">
        <v>7</v>
      </c>
      <c r="E5" s="93" t="s">
        <v>8</v>
      </c>
      <c r="F5" s="93" t="s">
        <v>9</v>
      </c>
      <c r="G5" s="93" t="s">
        <v>10</v>
      </c>
      <c r="H5" s="93" t="s">
        <v>11</v>
      </c>
      <c r="I5" s="93" t="s">
        <v>12</v>
      </c>
      <c r="J5" s="93" t="s">
        <v>13</v>
      </c>
      <c r="K5" s="93" t="s">
        <v>14</v>
      </c>
      <c r="L5" s="93" t="s">
        <v>15</v>
      </c>
      <c r="M5" s="93" t="s">
        <v>16</v>
      </c>
      <c r="N5" s="93" t="s">
        <v>17</v>
      </c>
      <c r="O5" s="93" t="s">
        <v>18</v>
      </c>
      <c r="P5" s="93" t="s">
        <v>19</v>
      </c>
      <c r="Q5" s="94" t="s">
        <v>20</v>
      </c>
      <c r="R5" s="93" t="s">
        <v>21</v>
      </c>
      <c r="S5" s="93" t="s">
        <v>22</v>
      </c>
      <c r="T5" s="93" t="s">
        <v>23</v>
      </c>
      <c r="U5" s="93" t="s">
        <v>24</v>
      </c>
      <c r="V5" s="93" t="s">
        <v>25</v>
      </c>
      <c r="W5" s="95" t="s">
        <v>26</v>
      </c>
      <c r="X5" s="93" t="s">
        <v>27</v>
      </c>
      <c r="Y5" s="93" t="s">
        <v>28</v>
      </c>
      <c r="Z5" s="93" t="s">
        <v>29</v>
      </c>
      <c r="AA5" s="93" t="s">
        <v>30</v>
      </c>
      <c r="AB5" s="93" t="s">
        <v>31</v>
      </c>
      <c r="AC5" s="93" t="s">
        <v>32</v>
      </c>
      <c r="AD5" s="94" t="s">
        <v>33</v>
      </c>
      <c r="AE5" s="93" t="s">
        <v>284</v>
      </c>
      <c r="AF5" s="93" t="s">
        <v>34</v>
      </c>
      <c r="AG5" s="93" t="s">
        <v>35</v>
      </c>
      <c r="AH5" s="93" t="s">
        <v>36</v>
      </c>
      <c r="AI5" s="93" t="s">
        <v>37</v>
      </c>
      <c r="AJ5" s="93" t="s">
        <v>38</v>
      </c>
      <c r="AK5" s="93" t="s">
        <v>39</v>
      </c>
      <c r="AL5" s="93" t="s">
        <v>40</v>
      </c>
      <c r="AM5" s="93" t="s">
        <v>41</v>
      </c>
      <c r="AN5" s="93" t="s">
        <v>42</v>
      </c>
      <c r="AO5" s="93" t="s">
        <v>43</v>
      </c>
      <c r="AP5" s="93" t="s">
        <v>44</v>
      </c>
      <c r="AQ5" s="93" t="s">
        <v>45</v>
      </c>
      <c r="AR5" s="93" t="s">
        <v>46</v>
      </c>
      <c r="AS5" s="93" t="s">
        <v>47</v>
      </c>
      <c r="AT5" s="93" t="s">
        <v>48</v>
      </c>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14.75" x14ac:dyDescent="0.25">
      <c r="A6" s="18">
        <v>1</v>
      </c>
      <c r="B6" s="19" t="str">
        <f>+CONCATENATE("208-",A6)</f>
        <v>208-1</v>
      </c>
      <c r="C6" s="20" t="s">
        <v>285</v>
      </c>
      <c r="D6" s="21" t="s">
        <v>286</v>
      </c>
      <c r="E6" s="22" t="s">
        <v>287</v>
      </c>
      <c r="F6" s="23" t="s">
        <v>253</v>
      </c>
      <c r="G6" s="22" t="s">
        <v>288</v>
      </c>
      <c r="H6" s="23" t="s">
        <v>289</v>
      </c>
      <c r="I6" s="24" t="s">
        <v>290</v>
      </c>
      <c r="J6" s="25" t="s">
        <v>291</v>
      </c>
      <c r="K6" s="26"/>
      <c r="L6" s="25" t="s">
        <v>58</v>
      </c>
      <c r="M6" s="25" t="s">
        <v>59</v>
      </c>
      <c r="N6" s="25" t="s">
        <v>60</v>
      </c>
      <c r="O6" s="25" t="s">
        <v>292</v>
      </c>
      <c r="P6" s="27" t="s">
        <v>293</v>
      </c>
      <c r="Q6" s="28">
        <f>(S6/W6)/R6</f>
        <v>0</v>
      </c>
      <c r="R6" s="29">
        <v>25</v>
      </c>
      <c r="S6" s="30">
        <f>1718514000-535027112-646972888-536514000</f>
        <v>0</v>
      </c>
      <c r="T6" s="31"/>
      <c r="U6" s="19" t="s">
        <v>199</v>
      </c>
      <c r="V6" s="32" t="s">
        <v>294</v>
      </c>
      <c r="W6" s="33">
        <v>5</v>
      </c>
      <c r="X6" s="34"/>
      <c r="Y6" s="35"/>
      <c r="Z6" s="36"/>
      <c r="AA6" s="37"/>
      <c r="AB6" s="37"/>
      <c r="AC6" s="38"/>
      <c r="AD6" s="39"/>
      <c r="AE6" s="39">
        <f>S6-AD6</f>
        <v>0</v>
      </c>
      <c r="AF6" s="34"/>
      <c r="AG6" s="40"/>
      <c r="AH6" s="39"/>
      <c r="AI6" s="18"/>
      <c r="AJ6" s="18"/>
      <c r="AK6" s="39">
        <f t="shared" ref="AK6:AK69" si="0">AD6-AH6</f>
        <v>0</v>
      </c>
      <c r="AL6" s="39"/>
      <c r="AM6" s="39">
        <f t="shared" ref="AM6:AM69" si="1">AH6-AL6</f>
        <v>0</v>
      </c>
      <c r="AN6" s="34"/>
      <c r="AO6" s="41">
        <f t="shared" ref="AO6:AO69" si="2">S6-AH6</f>
        <v>0</v>
      </c>
      <c r="AP6" s="34"/>
      <c r="AQ6" s="24"/>
      <c r="AR6" s="24"/>
      <c r="AS6" s="24"/>
      <c r="AT6" s="24"/>
    </row>
    <row r="7" spans="1:75" ht="102" x14ac:dyDescent="0.25">
      <c r="A7" s="18">
        <f>A6+1</f>
        <v>2</v>
      </c>
      <c r="B7" s="19" t="str">
        <f t="shared" ref="B7:B70" si="3">+CONCATENATE("208-",A7)</f>
        <v>208-2</v>
      </c>
      <c r="C7" s="20" t="s">
        <v>285</v>
      </c>
      <c r="D7" s="21" t="s">
        <v>286</v>
      </c>
      <c r="E7" s="42" t="s">
        <v>295</v>
      </c>
      <c r="F7" s="23" t="s">
        <v>253</v>
      </c>
      <c r="G7" s="22" t="s">
        <v>288</v>
      </c>
      <c r="H7" s="23" t="s">
        <v>289</v>
      </c>
      <c r="I7" s="24" t="s">
        <v>290</v>
      </c>
      <c r="J7" s="25" t="s">
        <v>291</v>
      </c>
      <c r="K7" s="26"/>
      <c r="L7" s="25" t="s">
        <v>58</v>
      </c>
      <c r="M7" s="25" t="s">
        <v>59</v>
      </c>
      <c r="N7" s="25" t="s">
        <v>60</v>
      </c>
      <c r="O7" s="25" t="s">
        <v>292</v>
      </c>
      <c r="P7" s="43" t="s">
        <v>296</v>
      </c>
      <c r="Q7" s="28">
        <f t="shared" ref="Q7:Q70" si="4">(S7/W7)/R7</f>
        <v>20206859.603174604</v>
      </c>
      <c r="R7" s="44">
        <v>18</v>
      </c>
      <c r="S7" s="30">
        <f>5209867000-19967239-1248396593-1509603406-331596631-90752820-1+536514000</f>
        <v>2546064310</v>
      </c>
      <c r="T7" s="31"/>
      <c r="U7" s="19" t="s">
        <v>199</v>
      </c>
      <c r="V7" s="32" t="s">
        <v>294</v>
      </c>
      <c r="W7" s="45">
        <v>7</v>
      </c>
      <c r="X7" s="34"/>
      <c r="Y7" s="35"/>
      <c r="Z7" s="36"/>
      <c r="AA7" s="37"/>
      <c r="AB7" s="37"/>
      <c r="AC7" s="38"/>
      <c r="AD7" s="39"/>
      <c r="AE7" s="39">
        <f t="shared" ref="AE7:AE70" si="5">S7-AD7</f>
        <v>2546064310</v>
      </c>
      <c r="AF7" s="34"/>
      <c r="AG7" s="40"/>
      <c r="AH7" s="39"/>
      <c r="AI7" s="18"/>
      <c r="AJ7" s="18"/>
      <c r="AK7" s="39">
        <f t="shared" si="0"/>
        <v>0</v>
      </c>
      <c r="AL7" s="39"/>
      <c r="AM7" s="39">
        <f t="shared" si="1"/>
        <v>0</v>
      </c>
      <c r="AN7" s="34"/>
      <c r="AO7" s="41">
        <f t="shared" si="2"/>
        <v>2546064310</v>
      </c>
      <c r="AP7" s="34"/>
      <c r="AQ7" s="24"/>
      <c r="AR7" s="24"/>
      <c r="AS7" s="24"/>
      <c r="AT7" s="24"/>
    </row>
    <row r="8" spans="1:75" ht="114.75" x14ac:dyDescent="0.25">
      <c r="A8" s="18">
        <f t="shared" ref="A8:A71" si="6">A7+1</f>
        <v>3</v>
      </c>
      <c r="B8" s="19" t="str">
        <f t="shared" si="3"/>
        <v>208-3</v>
      </c>
      <c r="C8" s="20" t="s">
        <v>285</v>
      </c>
      <c r="D8" s="21" t="s">
        <v>286</v>
      </c>
      <c r="E8" s="22" t="s">
        <v>287</v>
      </c>
      <c r="F8" s="25" t="s">
        <v>186</v>
      </c>
      <c r="G8" s="42" t="s">
        <v>297</v>
      </c>
      <c r="H8" s="25" t="s">
        <v>298</v>
      </c>
      <c r="I8" s="25" t="s">
        <v>56</v>
      </c>
      <c r="J8" s="25" t="s">
        <v>57</v>
      </c>
      <c r="K8" s="18">
        <v>801116</v>
      </c>
      <c r="L8" s="25" t="s">
        <v>58</v>
      </c>
      <c r="M8" s="25" t="s">
        <v>59</v>
      </c>
      <c r="N8" s="25" t="s">
        <v>60</v>
      </c>
      <c r="O8" s="25" t="s">
        <v>299</v>
      </c>
      <c r="P8" s="43" t="s">
        <v>300</v>
      </c>
      <c r="Q8" s="28">
        <f t="shared" si="4"/>
        <v>3046875</v>
      </c>
      <c r="R8" s="44">
        <v>1</v>
      </c>
      <c r="S8" s="30">
        <v>24375000</v>
      </c>
      <c r="T8" s="31"/>
      <c r="U8" s="46" t="s">
        <v>301</v>
      </c>
      <c r="V8" s="46" t="s">
        <v>302</v>
      </c>
      <c r="W8" s="45">
        <v>8</v>
      </c>
      <c r="X8" s="34"/>
      <c r="Y8" s="47"/>
      <c r="Z8" s="48"/>
      <c r="AA8" s="37"/>
      <c r="AB8" s="37"/>
      <c r="AC8" s="38"/>
      <c r="AD8" s="39"/>
      <c r="AE8" s="39">
        <f t="shared" si="5"/>
        <v>24375000</v>
      </c>
      <c r="AF8" s="34"/>
      <c r="AG8" s="40"/>
      <c r="AH8" s="39"/>
      <c r="AI8" s="18"/>
      <c r="AJ8" s="18"/>
      <c r="AK8" s="39">
        <f t="shared" si="0"/>
        <v>0</v>
      </c>
      <c r="AL8" s="39"/>
      <c r="AM8" s="39">
        <f t="shared" si="1"/>
        <v>0</v>
      </c>
      <c r="AN8" s="34"/>
      <c r="AO8" s="41">
        <f t="shared" si="2"/>
        <v>24375000</v>
      </c>
      <c r="AP8" s="34"/>
      <c r="AQ8" s="24"/>
      <c r="AR8" s="24"/>
      <c r="AS8" s="24"/>
      <c r="AT8" s="24"/>
    </row>
    <row r="9" spans="1:75" ht="102" x14ac:dyDescent="0.25">
      <c r="A9" s="18">
        <f t="shared" si="6"/>
        <v>4</v>
      </c>
      <c r="B9" s="19" t="str">
        <f t="shared" si="3"/>
        <v>208-4</v>
      </c>
      <c r="C9" s="20" t="s">
        <v>285</v>
      </c>
      <c r="D9" s="21" t="s">
        <v>286</v>
      </c>
      <c r="E9" s="42" t="s">
        <v>295</v>
      </c>
      <c r="F9" s="25" t="s">
        <v>186</v>
      </c>
      <c r="G9" s="42" t="s">
        <v>297</v>
      </c>
      <c r="H9" s="25" t="s">
        <v>298</v>
      </c>
      <c r="I9" s="25" t="s">
        <v>56</v>
      </c>
      <c r="J9" s="25" t="s">
        <v>57</v>
      </c>
      <c r="K9" s="18">
        <v>801116</v>
      </c>
      <c r="L9" s="25" t="s">
        <v>58</v>
      </c>
      <c r="M9" s="25" t="s">
        <v>59</v>
      </c>
      <c r="N9" s="25" t="s">
        <v>60</v>
      </c>
      <c r="O9" s="25" t="s">
        <v>299</v>
      </c>
      <c r="P9" s="43" t="s">
        <v>300</v>
      </c>
      <c r="Q9" s="28">
        <f t="shared" si="4"/>
        <v>7109375</v>
      </c>
      <c r="R9" s="44">
        <v>1</v>
      </c>
      <c r="S9" s="30">
        <v>56875000</v>
      </c>
      <c r="T9" s="31"/>
      <c r="U9" s="46" t="s">
        <v>301</v>
      </c>
      <c r="V9" s="46" t="s">
        <v>302</v>
      </c>
      <c r="W9" s="45">
        <v>8</v>
      </c>
      <c r="X9" s="34"/>
      <c r="Y9" s="35"/>
      <c r="Z9" s="36"/>
      <c r="AA9" s="37"/>
      <c r="AB9" s="37"/>
      <c r="AC9" s="38"/>
      <c r="AD9" s="39"/>
      <c r="AE9" s="39">
        <f t="shared" si="5"/>
        <v>56875000</v>
      </c>
      <c r="AF9" s="34"/>
      <c r="AG9" s="40"/>
      <c r="AH9" s="39"/>
      <c r="AI9" s="18"/>
      <c r="AJ9" s="18"/>
      <c r="AK9" s="39">
        <f t="shared" si="0"/>
        <v>0</v>
      </c>
      <c r="AL9" s="39"/>
      <c r="AM9" s="39">
        <f t="shared" si="1"/>
        <v>0</v>
      </c>
      <c r="AN9" s="34"/>
      <c r="AO9" s="41">
        <f t="shared" si="2"/>
        <v>56875000</v>
      </c>
      <c r="AP9" s="34"/>
      <c r="AQ9" s="24"/>
      <c r="AR9" s="24"/>
      <c r="AS9" s="24"/>
      <c r="AT9" s="24"/>
    </row>
    <row r="10" spans="1:75" ht="140.25" x14ac:dyDescent="0.25">
      <c r="A10" s="18">
        <f t="shared" si="6"/>
        <v>5</v>
      </c>
      <c r="B10" s="19" t="str">
        <f t="shared" si="3"/>
        <v>208-5</v>
      </c>
      <c r="C10" s="20" t="s">
        <v>285</v>
      </c>
      <c r="D10" s="21" t="s">
        <v>286</v>
      </c>
      <c r="E10" s="22" t="s">
        <v>287</v>
      </c>
      <c r="F10" s="25" t="s">
        <v>186</v>
      </c>
      <c r="G10" s="42" t="s">
        <v>297</v>
      </c>
      <c r="H10" s="25" t="s">
        <v>298</v>
      </c>
      <c r="I10" s="25" t="s">
        <v>56</v>
      </c>
      <c r="J10" s="25" t="s">
        <v>57</v>
      </c>
      <c r="K10" s="18">
        <v>82101600</v>
      </c>
      <c r="L10" s="25" t="s">
        <v>58</v>
      </c>
      <c r="M10" s="25" t="s">
        <v>59</v>
      </c>
      <c r="N10" s="25" t="s">
        <v>60</v>
      </c>
      <c r="O10" s="25" t="s">
        <v>61</v>
      </c>
      <c r="P10" s="43" t="s">
        <v>303</v>
      </c>
      <c r="Q10" s="28">
        <f t="shared" si="4"/>
        <v>6093750</v>
      </c>
      <c r="R10" s="44">
        <v>1</v>
      </c>
      <c r="S10" s="30">
        <v>24375000</v>
      </c>
      <c r="T10" s="31"/>
      <c r="U10" s="46" t="s">
        <v>301</v>
      </c>
      <c r="V10" s="46" t="s">
        <v>304</v>
      </c>
      <c r="W10" s="45">
        <v>4</v>
      </c>
      <c r="X10" s="34"/>
      <c r="Y10" s="35"/>
      <c r="Z10" s="36"/>
      <c r="AA10" s="37"/>
      <c r="AB10" s="37"/>
      <c r="AC10" s="38"/>
      <c r="AD10" s="39"/>
      <c r="AE10" s="39">
        <f t="shared" si="5"/>
        <v>24375000</v>
      </c>
      <c r="AF10" s="34"/>
      <c r="AG10" s="40"/>
      <c r="AH10" s="39"/>
      <c r="AI10" s="18"/>
      <c r="AJ10" s="18"/>
      <c r="AK10" s="39">
        <f t="shared" si="0"/>
        <v>0</v>
      </c>
      <c r="AL10" s="39"/>
      <c r="AM10" s="39">
        <f t="shared" si="1"/>
        <v>0</v>
      </c>
      <c r="AN10" s="34"/>
      <c r="AO10" s="41">
        <f t="shared" si="2"/>
        <v>24375000</v>
      </c>
      <c r="AP10" s="34"/>
      <c r="AQ10" s="24"/>
      <c r="AR10" s="24"/>
      <c r="AS10" s="24"/>
      <c r="AT10" s="24"/>
    </row>
    <row r="11" spans="1:75" ht="140.25" x14ac:dyDescent="0.25">
      <c r="A11" s="18">
        <f t="shared" si="6"/>
        <v>6</v>
      </c>
      <c r="B11" s="19" t="str">
        <f t="shared" si="3"/>
        <v>208-6</v>
      </c>
      <c r="C11" s="20" t="s">
        <v>285</v>
      </c>
      <c r="D11" s="21" t="s">
        <v>286</v>
      </c>
      <c r="E11" s="42" t="s">
        <v>295</v>
      </c>
      <c r="F11" s="25" t="s">
        <v>186</v>
      </c>
      <c r="G11" s="42" t="s">
        <v>297</v>
      </c>
      <c r="H11" s="25" t="s">
        <v>298</v>
      </c>
      <c r="I11" s="25" t="s">
        <v>56</v>
      </c>
      <c r="J11" s="25" t="s">
        <v>57</v>
      </c>
      <c r="K11" s="18">
        <v>82101600</v>
      </c>
      <c r="L11" s="25" t="s">
        <v>58</v>
      </c>
      <c r="M11" s="25" t="s">
        <v>59</v>
      </c>
      <c r="N11" s="25" t="s">
        <v>60</v>
      </c>
      <c r="O11" s="25" t="s">
        <v>61</v>
      </c>
      <c r="P11" s="43" t="s">
        <v>303</v>
      </c>
      <c r="Q11" s="28">
        <f t="shared" si="4"/>
        <v>14218750</v>
      </c>
      <c r="R11" s="44">
        <v>1</v>
      </c>
      <c r="S11" s="30">
        <v>56875000</v>
      </c>
      <c r="T11" s="31"/>
      <c r="U11" s="46" t="s">
        <v>301</v>
      </c>
      <c r="V11" s="46" t="s">
        <v>304</v>
      </c>
      <c r="W11" s="45">
        <v>4</v>
      </c>
      <c r="X11" s="34"/>
      <c r="Y11" s="35"/>
      <c r="Z11" s="36"/>
      <c r="AA11" s="37"/>
      <c r="AB11" s="37"/>
      <c r="AC11" s="38"/>
      <c r="AD11" s="39"/>
      <c r="AE11" s="39">
        <f t="shared" si="5"/>
        <v>56875000</v>
      </c>
      <c r="AF11" s="34"/>
      <c r="AG11" s="40"/>
      <c r="AH11" s="39"/>
      <c r="AI11" s="18"/>
      <c r="AJ11" s="18"/>
      <c r="AK11" s="39">
        <f t="shared" si="0"/>
        <v>0</v>
      </c>
      <c r="AL11" s="39"/>
      <c r="AM11" s="39">
        <f t="shared" si="1"/>
        <v>0</v>
      </c>
      <c r="AN11" s="34"/>
      <c r="AO11" s="41">
        <f t="shared" si="2"/>
        <v>56875000</v>
      </c>
      <c r="AP11" s="34"/>
      <c r="AQ11" s="24"/>
      <c r="AR11" s="24"/>
      <c r="AS11" s="24"/>
      <c r="AT11" s="24"/>
    </row>
    <row r="12" spans="1:75" ht="114.75" x14ac:dyDescent="0.25">
      <c r="A12" s="18">
        <f t="shared" si="6"/>
        <v>7</v>
      </c>
      <c r="B12" s="19" t="str">
        <f t="shared" si="3"/>
        <v>208-7</v>
      </c>
      <c r="C12" s="20" t="s">
        <v>285</v>
      </c>
      <c r="D12" s="21" t="s">
        <v>286</v>
      </c>
      <c r="E12" s="22" t="s">
        <v>287</v>
      </c>
      <c r="F12" s="25" t="s">
        <v>53</v>
      </c>
      <c r="G12" s="42" t="s">
        <v>54</v>
      </c>
      <c r="H12" s="25" t="s">
        <v>305</v>
      </c>
      <c r="I12" s="25" t="s">
        <v>56</v>
      </c>
      <c r="J12" s="25" t="s">
        <v>57</v>
      </c>
      <c r="K12" s="49">
        <v>801116</v>
      </c>
      <c r="L12" s="25" t="s">
        <v>58</v>
      </c>
      <c r="M12" s="25" t="s">
        <v>59</v>
      </c>
      <c r="N12" s="25" t="s">
        <v>60</v>
      </c>
      <c r="O12" s="25" t="s">
        <v>299</v>
      </c>
      <c r="P12" s="43" t="s">
        <v>306</v>
      </c>
      <c r="Q12" s="28">
        <f t="shared" si="4"/>
        <v>3513416.25</v>
      </c>
      <c r="R12" s="44">
        <v>1</v>
      </c>
      <c r="S12" s="30">
        <v>42160995</v>
      </c>
      <c r="T12" s="31" t="s">
        <v>307</v>
      </c>
      <c r="U12" s="46" t="s">
        <v>68</v>
      </c>
      <c r="V12" s="46" t="s">
        <v>308</v>
      </c>
      <c r="W12" s="45">
        <v>12</v>
      </c>
      <c r="X12" s="34">
        <v>103</v>
      </c>
      <c r="Y12" s="47">
        <v>43102</v>
      </c>
      <c r="Z12" s="30">
        <v>42160995</v>
      </c>
      <c r="AA12" s="37"/>
      <c r="AB12" s="37">
        <v>50</v>
      </c>
      <c r="AC12" s="50">
        <v>43103</v>
      </c>
      <c r="AD12" s="30">
        <v>42160995</v>
      </c>
      <c r="AE12" s="39">
        <f t="shared" si="5"/>
        <v>0</v>
      </c>
      <c r="AF12" s="34" t="s">
        <v>309</v>
      </c>
      <c r="AG12" s="51">
        <v>43180</v>
      </c>
      <c r="AH12" s="39">
        <v>14096264.699999999</v>
      </c>
      <c r="AI12" s="18" t="s">
        <v>310</v>
      </c>
      <c r="AJ12" s="18" t="s">
        <v>311</v>
      </c>
      <c r="AK12" s="39">
        <f t="shared" si="0"/>
        <v>28064730.300000001</v>
      </c>
      <c r="AL12" s="39">
        <v>14096264.699999999</v>
      </c>
      <c r="AM12" s="39">
        <f t="shared" si="1"/>
        <v>0</v>
      </c>
      <c r="AN12" s="34"/>
      <c r="AO12" s="41">
        <f t="shared" si="2"/>
        <v>28064730.300000001</v>
      </c>
      <c r="AP12" s="34"/>
      <c r="AQ12" s="52">
        <v>43102</v>
      </c>
      <c r="AR12" s="24" t="s">
        <v>312</v>
      </c>
      <c r="AS12" s="52">
        <v>43102</v>
      </c>
      <c r="AT12" s="24" t="s">
        <v>313</v>
      </c>
    </row>
    <row r="13" spans="1:75" ht="102" x14ac:dyDescent="0.25">
      <c r="A13" s="18">
        <f t="shared" si="6"/>
        <v>8</v>
      </c>
      <c r="B13" s="19" t="str">
        <f t="shared" si="3"/>
        <v>208-8</v>
      </c>
      <c r="C13" s="20" t="s">
        <v>285</v>
      </c>
      <c r="D13" s="21" t="s">
        <v>286</v>
      </c>
      <c r="E13" s="42" t="s">
        <v>295</v>
      </c>
      <c r="F13" s="25" t="s">
        <v>53</v>
      </c>
      <c r="G13" s="42" t="s">
        <v>54</v>
      </c>
      <c r="H13" s="25" t="s">
        <v>305</v>
      </c>
      <c r="I13" s="25" t="s">
        <v>56</v>
      </c>
      <c r="J13" s="25" t="s">
        <v>57</v>
      </c>
      <c r="K13" s="49">
        <v>801116</v>
      </c>
      <c r="L13" s="25" t="s">
        <v>58</v>
      </c>
      <c r="M13" s="25" t="s">
        <v>59</v>
      </c>
      <c r="N13" s="25" t="s">
        <v>60</v>
      </c>
      <c r="O13" s="25" t="s">
        <v>299</v>
      </c>
      <c r="P13" s="43" t="s">
        <v>306</v>
      </c>
      <c r="Q13" s="28">
        <f t="shared" si="4"/>
        <v>8197971.25</v>
      </c>
      <c r="R13" s="44">
        <v>1</v>
      </c>
      <c r="S13" s="30">
        <v>98375655</v>
      </c>
      <c r="T13" s="31" t="s">
        <v>307</v>
      </c>
      <c r="U13" s="46" t="s">
        <v>68</v>
      </c>
      <c r="V13" s="46" t="s">
        <v>308</v>
      </c>
      <c r="W13" s="45">
        <v>12</v>
      </c>
      <c r="X13" s="34">
        <v>104</v>
      </c>
      <c r="Y13" s="47">
        <v>43102</v>
      </c>
      <c r="Z13" s="30">
        <v>98375655</v>
      </c>
      <c r="AA13" s="37"/>
      <c r="AB13" s="37">
        <v>50</v>
      </c>
      <c r="AC13" s="50">
        <v>43103</v>
      </c>
      <c r="AD13" s="30">
        <v>98375655</v>
      </c>
      <c r="AE13" s="39">
        <f t="shared" si="5"/>
        <v>0</v>
      </c>
      <c r="AF13" s="34" t="s">
        <v>309</v>
      </c>
      <c r="AG13" s="51">
        <v>43180</v>
      </c>
      <c r="AH13" s="39">
        <v>32891284.299999997</v>
      </c>
      <c r="AI13" s="18" t="s">
        <v>310</v>
      </c>
      <c r="AJ13" s="18" t="s">
        <v>311</v>
      </c>
      <c r="AK13" s="39">
        <f t="shared" si="0"/>
        <v>65484370.700000003</v>
      </c>
      <c r="AL13" s="39">
        <v>32891284.299999997</v>
      </c>
      <c r="AM13" s="39">
        <f t="shared" si="1"/>
        <v>0</v>
      </c>
      <c r="AN13" s="34"/>
      <c r="AO13" s="41">
        <f t="shared" si="2"/>
        <v>65484370.700000003</v>
      </c>
      <c r="AP13" s="34"/>
      <c r="AQ13" s="52">
        <v>43102</v>
      </c>
      <c r="AR13" s="24" t="s">
        <v>312</v>
      </c>
      <c r="AS13" s="52">
        <v>43102</v>
      </c>
      <c r="AT13" s="24" t="s">
        <v>313</v>
      </c>
    </row>
    <row r="14" spans="1:75" ht="114.75" x14ac:dyDescent="0.25">
      <c r="A14" s="18">
        <f t="shared" si="6"/>
        <v>9</v>
      </c>
      <c r="B14" s="19" t="str">
        <f t="shared" si="3"/>
        <v>208-9</v>
      </c>
      <c r="C14" s="20" t="s">
        <v>285</v>
      </c>
      <c r="D14" s="21" t="s">
        <v>286</v>
      </c>
      <c r="E14" s="22" t="s">
        <v>287</v>
      </c>
      <c r="F14" s="25" t="s">
        <v>53</v>
      </c>
      <c r="G14" s="42" t="s">
        <v>54</v>
      </c>
      <c r="H14" s="25" t="s">
        <v>305</v>
      </c>
      <c r="I14" s="25" t="s">
        <v>56</v>
      </c>
      <c r="J14" s="25" t="s">
        <v>57</v>
      </c>
      <c r="K14" s="49">
        <v>801116</v>
      </c>
      <c r="L14" s="25" t="s">
        <v>58</v>
      </c>
      <c r="M14" s="25" t="s">
        <v>59</v>
      </c>
      <c r="N14" s="25" t="s">
        <v>60</v>
      </c>
      <c r="O14" s="25" t="s">
        <v>299</v>
      </c>
      <c r="P14" s="43" t="s">
        <v>306</v>
      </c>
      <c r="Q14" s="28">
        <f t="shared" si="4"/>
        <v>3472553.75</v>
      </c>
      <c r="R14" s="44">
        <v>1</v>
      </c>
      <c r="S14" s="30">
        <v>41670645</v>
      </c>
      <c r="T14" s="31" t="s">
        <v>307</v>
      </c>
      <c r="U14" s="46" t="s">
        <v>68</v>
      </c>
      <c r="V14" s="46" t="s">
        <v>308</v>
      </c>
      <c r="W14" s="45">
        <v>12</v>
      </c>
      <c r="X14" s="34">
        <v>105</v>
      </c>
      <c r="Y14" s="47">
        <v>43102</v>
      </c>
      <c r="Z14" s="30">
        <v>41670645</v>
      </c>
      <c r="AA14" s="37"/>
      <c r="AB14" s="37">
        <v>50</v>
      </c>
      <c r="AC14" s="50">
        <v>43103</v>
      </c>
      <c r="AD14" s="30">
        <v>41670645</v>
      </c>
      <c r="AE14" s="39">
        <f t="shared" si="5"/>
        <v>0</v>
      </c>
      <c r="AF14" s="34"/>
      <c r="AG14" s="40"/>
      <c r="AH14" s="39"/>
      <c r="AI14" s="18"/>
      <c r="AJ14" s="18"/>
      <c r="AK14" s="39">
        <f t="shared" si="0"/>
        <v>41670645</v>
      </c>
      <c r="AL14" s="39"/>
      <c r="AM14" s="39">
        <f t="shared" si="1"/>
        <v>0</v>
      </c>
      <c r="AN14" s="34"/>
      <c r="AO14" s="41">
        <f t="shared" si="2"/>
        <v>41670645</v>
      </c>
      <c r="AP14" s="34"/>
      <c r="AQ14" s="52">
        <v>43102</v>
      </c>
      <c r="AR14" s="24" t="s">
        <v>312</v>
      </c>
      <c r="AS14" s="52">
        <v>43102</v>
      </c>
      <c r="AT14" s="24" t="s">
        <v>313</v>
      </c>
    </row>
    <row r="15" spans="1:75" ht="102" x14ac:dyDescent="0.25">
      <c r="A15" s="18">
        <f t="shared" si="6"/>
        <v>10</v>
      </c>
      <c r="B15" s="19" t="str">
        <f t="shared" si="3"/>
        <v>208-10</v>
      </c>
      <c r="C15" s="20" t="s">
        <v>285</v>
      </c>
      <c r="D15" s="21" t="s">
        <v>286</v>
      </c>
      <c r="E15" s="42" t="s">
        <v>295</v>
      </c>
      <c r="F15" s="25" t="s">
        <v>53</v>
      </c>
      <c r="G15" s="42" t="s">
        <v>54</v>
      </c>
      <c r="H15" s="25" t="s">
        <v>305</v>
      </c>
      <c r="I15" s="25" t="s">
        <v>56</v>
      </c>
      <c r="J15" s="25" t="s">
        <v>57</v>
      </c>
      <c r="K15" s="49">
        <v>801116</v>
      </c>
      <c r="L15" s="25" t="s">
        <v>58</v>
      </c>
      <c r="M15" s="25" t="s">
        <v>59</v>
      </c>
      <c r="N15" s="25" t="s">
        <v>60</v>
      </c>
      <c r="O15" s="25" t="s">
        <v>299</v>
      </c>
      <c r="P15" s="43" t="s">
        <v>306</v>
      </c>
      <c r="Q15" s="28">
        <f t="shared" si="4"/>
        <v>8102625.416666667</v>
      </c>
      <c r="R15" s="44">
        <v>1</v>
      </c>
      <c r="S15" s="30">
        <v>97231505</v>
      </c>
      <c r="T15" s="31" t="s">
        <v>307</v>
      </c>
      <c r="U15" s="46" t="s">
        <v>68</v>
      </c>
      <c r="V15" s="46" t="s">
        <v>308</v>
      </c>
      <c r="W15" s="45">
        <v>12</v>
      </c>
      <c r="X15" s="34">
        <v>106</v>
      </c>
      <c r="Y15" s="47">
        <v>43102</v>
      </c>
      <c r="Z15" s="30">
        <v>97231505</v>
      </c>
      <c r="AA15" s="37"/>
      <c r="AB15" s="37">
        <v>50</v>
      </c>
      <c r="AC15" s="50">
        <v>43103</v>
      </c>
      <c r="AD15" s="30">
        <v>97231505</v>
      </c>
      <c r="AE15" s="39">
        <f t="shared" si="5"/>
        <v>0</v>
      </c>
      <c r="AF15" s="34"/>
      <c r="AG15" s="40"/>
      <c r="AH15" s="39"/>
      <c r="AI15" s="18"/>
      <c r="AJ15" s="18"/>
      <c r="AK15" s="39">
        <f t="shared" si="0"/>
        <v>97231505</v>
      </c>
      <c r="AL15" s="39"/>
      <c r="AM15" s="39">
        <f t="shared" si="1"/>
        <v>0</v>
      </c>
      <c r="AN15" s="34"/>
      <c r="AO15" s="41">
        <f t="shared" si="2"/>
        <v>97231505</v>
      </c>
      <c r="AP15" s="34"/>
      <c r="AQ15" s="52">
        <v>43102</v>
      </c>
      <c r="AR15" s="24" t="s">
        <v>312</v>
      </c>
      <c r="AS15" s="52">
        <v>43102</v>
      </c>
      <c r="AT15" s="24" t="s">
        <v>313</v>
      </c>
    </row>
    <row r="16" spans="1:75" ht="114.75" x14ac:dyDescent="0.25">
      <c r="A16" s="18">
        <f t="shared" si="6"/>
        <v>11</v>
      </c>
      <c r="B16" s="19" t="str">
        <f t="shared" si="3"/>
        <v>208-11</v>
      </c>
      <c r="C16" s="20" t="s">
        <v>285</v>
      </c>
      <c r="D16" s="21" t="s">
        <v>286</v>
      </c>
      <c r="E16" s="22" t="s">
        <v>287</v>
      </c>
      <c r="F16" s="25" t="s">
        <v>53</v>
      </c>
      <c r="G16" s="42" t="s">
        <v>54</v>
      </c>
      <c r="H16" s="25" t="s">
        <v>305</v>
      </c>
      <c r="I16" s="25" t="s">
        <v>56</v>
      </c>
      <c r="J16" s="25" t="s">
        <v>57</v>
      </c>
      <c r="K16" s="49">
        <v>801116</v>
      </c>
      <c r="L16" s="25" t="s">
        <v>58</v>
      </c>
      <c r="M16" s="25" t="s">
        <v>59</v>
      </c>
      <c r="N16" s="25" t="s">
        <v>60</v>
      </c>
      <c r="O16" s="25" t="s">
        <v>299</v>
      </c>
      <c r="P16" s="43" t="s">
        <v>306</v>
      </c>
      <c r="Q16" s="28">
        <f t="shared" si="4"/>
        <v>2432618.75</v>
      </c>
      <c r="R16" s="44">
        <v>1</v>
      </c>
      <c r="S16" s="30">
        <v>29191425</v>
      </c>
      <c r="T16" s="31" t="s">
        <v>307</v>
      </c>
      <c r="U16" s="46" t="s">
        <v>68</v>
      </c>
      <c r="V16" s="46" t="s">
        <v>308</v>
      </c>
      <c r="W16" s="45">
        <v>12</v>
      </c>
      <c r="X16" s="34">
        <v>107</v>
      </c>
      <c r="Y16" s="47">
        <v>43102</v>
      </c>
      <c r="Z16" s="30">
        <v>29191425</v>
      </c>
      <c r="AA16" s="37"/>
      <c r="AB16" s="37">
        <v>50</v>
      </c>
      <c r="AC16" s="50">
        <v>43103</v>
      </c>
      <c r="AD16" s="30">
        <v>29191425</v>
      </c>
      <c r="AE16" s="39">
        <f t="shared" si="5"/>
        <v>0</v>
      </c>
      <c r="AF16" s="34"/>
      <c r="AG16" s="40"/>
      <c r="AH16" s="39"/>
      <c r="AI16" s="18"/>
      <c r="AJ16" s="18"/>
      <c r="AK16" s="39">
        <f t="shared" si="0"/>
        <v>29191425</v>
      </c>
      <c r="AL16" s="39"/>
      <c r="AM16" s="39">
        <f t="shared" si="1"/>
        <v>0</v>
      </c>
      <c r="AN16" s="34"/>
      <c r="AO16" s="41">
        <f t="shared" si="2"/>
        <v>29191425</v>
      </c>
      <c r="AP16" s="34"/>
      <c r="AQ16" s="52">
        <v>43102</v>
      </c>
      <c r="AR16" s="24" t="s">
        <v>312</v>
      </c>
      <c r="AS16" s="52">
        <v>43102</v>
      </c>
      <c r="AT16" s="24" t="s">
        <v>313</v>
      </c>
    </row>
    <row r="17" spans="1:46" ht="102" x14ac:dyDescent="0.25">
      <c r="A17" s="18">
        <f t="shared" si="6"/>
        <v>12</v>
      </c>
      <c r="B17" s="19" t="str">
        <f t="shared" si="3"/>
        <v>208-12</v>
      </c>
      <c r="C17" s="20" t="s">
        <v>285</v>
      </c>
      <c r="D17" s="21" t="s">
        <v>286</v>
      </c>
      <c r="E17" s="42" t="s">
        <v>295</v>
      </c>
      <c r="F17" s="25" t="s">
        <v>53</v>
      </c>
      <c r="G17" s="42" t="s">
        <v>54</v>
      </c>
      <c r="H17" s="25" t="s">
        <v>305</v>
      </c>
      <c r="I17" s="25" t="s">
        <v>56</v>
      </c>
      <c r="J17" s="25" t="s">
        <v>57</v>
      </c>
      <c r="K17" s="49">
        <v>801116</v>
      </c>
      <c r="L17" s="25" t="s">
        <v>58</v>
      </c>
      <c r="M17" s="25" t="s">
        <v>59</v>
      </c>
      <c r="N17" s="25" t="s">
        <v>60</v>
      </c>
      <c r="O17" s="25" t="s">
        <v>299</v>
      </c>
      <c r="P17" s="43" t="s">
        <v>306</v>
      </c>
      <c r="Q17" s="28">
        <f t="shared" si="4"/>
        <v>5676110.416666667</v>
      </c>
      <c r="R17" s="44">
        <v>1</v>
      </c>
      <c r="S17" s="30">
        <v>68113325</v>
      </c>
      <c r="T17" s="31" t="s">
        <v>307</v>
      </c>
      <c r="U17" s="46" t="s">
        <v>68</v>
      </c>
      <c r="V17" s="46" t="s">
        <v>308</v>
      </c>
      <c r="W17" s="45">
        <v>12</v>
      </c>
      <c r="X17" s="34">
        <v>108</v>
      </c>
      <c r="Y17" s="47">
        <v>43102</v>
      </c>
      <c r="Z17" s="30">
        <v>68113325</v>
      </c>
      <c r="AA17" s="37"/>
      <c r="AB17" s="37">
        <v>50</v>
      </c>
      <c r="AC17" s="50">
        <v>43103</v>
      </c>
      <c r="AD17" s="30">
        <v>68113325</v>
      </c>
      <c r="AE17" s="39">
        <f t="shared" si="5"/>
        <v>0</v>
      </c>
      <c r="AF17" s="34"/>
      <c r="AG17" s="40"/>
      <c r="AH17" s="39"/>
      <c r="AI17" s="18"/>
      <c r="AJ17" s="18"/>
      <c r="AK17" s="39">
        <f t="shared" si="0"/>
        <v>68113325</v>
      </c>
      <c r="AL17" s="39"/>
      <c r="AM17" s="39">
        <f t="shared" si="1"/>
        <v>0</v>
      </c>
      <c r="AN17" s="34"/>
      <c r="AO17" s="41">
        <f t="shared" si="2"/>
        <v>68113325</v>
      </c>
      <c r="AP17" s="34"/>
      <c r="AQ17" s="52">
        <v>43102</v>
      </c>
      <c r="AR17" s="24" t="s">
        <v>312</v>
      </c>
      <c r="AS17" s="52">
        <v>43102</v>
      </c>
      <c r="AT17" s="24" t="s">
        <v>313</v>
      </c>
    </row>
    <row r="18" spans="1:46" ht="114.75" x14ac:dyDescent="0.25">
      <c r="A18" s="18">
        <f t="shared" si="6"/>
        <v>13</v>
      </c>
      <c r="B18" s="19" t="str">
        <f t="shared" si="3"/>
        <v>208-13</v>
      </c>
      <c r="C18" s="20" t="s">
        <v>285</v>
      </c>
      <c r="D18" s="21" t="s">
        <v>286</v>
      </c>
      <c r="E18" s="22" t="s">
        <v>287</v>
      </c>
      <c r="F18" s="25" t="s">
        <v>53</v>
      </c>
      <c r="G18" s="42" t="s">
        <v>54</v>
      </c>
      <c r="H18" s="25" t="s">
        <v>305</v>
      </c>
      <c r="I18" s="25" t="s">
        <v>56</v>
      </c>
      <c r="J18" s="25" t="s">
        <v>57</v>
      </c>
      <c r="K18" s="49">
        <v>801116</v>
      </c>
      <c r="L18" s="25" t="s">
        <v>58</v>
      </c>
      <c r="M18" s="25" t="s">
        <v>59</v>
      </c>
      <c r="N18" s="25" t="s">
        <v>60</v>
      </c>
      <c r="O18" s="25" t="s">
        <v>299</v>
      </c>
      <c r="P18" s="43" t="s">
        <v>314</v>
      </c>
      <c r="Q18" s="28">
        <f t="shared" si="4"/>
        <v>900000</v>
      </c>
      <c r="R18" s="44">
        <v>1</v>
      </c>
      <c r="S18" s="30">
        <v>10800000</v>
      </c>
      <c r="T18" s="31" t="s">
        <v>307</v>
      </c>
      <c r="U18" s="46" t="s">
        <v>68</v>
      </c>
      <c r="V18" s="46" t="s">
        <v>308</v>
      </c>
      <c r="W18" s="45">
        <v>12</v>
      </c>
      <c r="X18" s="34">
        <v>101</v>
      </c>
      <c r="Y18" s="47">
        <v>43102</v>
      </c>
      <c r="Z18" s="30">
        <v>10800000</v>
      </c>
      <c r="AA18" s="37"/>
      <c r="AB18" s="37">
        <v>52</v>
      </c>
      <c r="AC18" s="50">
        <v>43103</v>
      </c>
      <c r="AD18" s="39">
        <v>10800000</v>
      </c>
      <c r="AE18" s="39">
        <f t="shared" si="5"/>
        <v>0</v>
      </c>
      <c r="AF18" s="34">
        <v>1542</v>
      </c>
      <c r="AG18" s="51">
        <v>43165</v>
      </c>
      <c r="AH18" s="39">
        <v>1050540</v>
      </c>
      <c r="AI18" s="112" t="s">
        <v>315</v>
      </c>
      <c r="AJ18" s="18">
        <v>3</v>
      </c>
      <c r="AK18" s="39">
        <f t="shared" si="0"/>
        <v>9749460</v>
      </c>
      <c r="AL18" s="39">
        <v>1050540</v>
      </c>
      <c r="AM18" s="39">
        <f t="shared" si="1"/>
        <v>0</v>
      </c>
      <c r="AN18" s="34"/>
      <c r="AO18" s="41">
        <f t="shared" si="2"/>
        <v>9749460</v>
      </c>
      <c r="AP18" s="34"/>
      <c r="AQ18" s="52">
        <v>43102</v>
      </c>
      <c r="AR18" s="24" t="s">
        <v>312</v>
      </c>
      <c r="AS18" s="52">
        <v>43102</v>
      </c>
      <c r="AT18" s="24" t="s">
        <v>316</v>
      </c>
    </row>
    <row r="19" spans="1:46" ht="102" x14ac:dyDescent="0.25">
      <c r="A19" s="18">
        <f t="shared" si="6"/>
        <v>14</v>
      </c>
      <c r="B19" s="19" t="str">
        <f t="shared" si="3"/>
        <v>208-14</v>
      </c>
      <c r="C19" s="20" t="s">
        <v>285</v>
      </c>
      <c r="D19" s="21" t="s">
        <v>286</v>
      </c>
      <c r="E19" s="42" t="s">
        <v>295</v>
      </c>
      <c r="F19" s="25" t="s">
        <v>53</v>
      </c>
      <c r="G19" s="42" t="s">
        <v>54</v>
      </c>
      <c r="H19" s="25" t="s">
        <v>305</v>
      </c>
      <c r="I19" s="25" t="s">
        <v>56</v>
      </c>
      <c r="J19" s="25" t="s">
        <v>57</v>
      </c>
      <c r="K19" s="49">
        <v>801116</v>
      </c>
      <c r="L19" s="25" t="s">
        <v>58</v>
      </c>
      <c r="M19" s="25" t="s">
        <v>59</v>
      </c>
      <c r="N19" s="25" t="s">
        <v>60</v>
      </c>
      <c r="O19" s="25" t="s">
        <v>299</v>
      </c>
      <c r="P19" s="43" t="s">
        <v>314</v>
      </c>
      <c r="Q19" s="28">
        <f t="shared" si="4"/>
        <v>2100000</v>
      </c>
      <c r="R19" s="44">
        <v>1</v>
      </c>
      <c r="S19" s="30">
        <v>25200000</v>
      </c>
      <c r="T19" s="31" t="s">
        <v>307</v>
      </c>
      <c r="U19" s="46" t="s">
        <v>68</v>
      </c>
      <c r="V19" s="46" t="s">
        <v>308</v>
      </c>
      <c r="W19" s="45">
        <v>12</v>
      </c>
      <c r="X19" s="34">
        <v>102</v>
      </c>
      <c r="Y19" s="47">
        <v>43102</v>
      </c>
      <c r="Z19" s="30">
        <v>25200000</v>
      </c>
      <c r="AA19" s="37"/>
      <c r="AB19" s="37">
        <v>52</v>
      </c>
      <c r="AC19" s="50">
        <v>43103</v>
      </c>
      <c r="AD19" s="39">
        <v>25200000</v>
      </c>
      <c r="AE19" s="39">
        <f t="shared" si="5"/>
        <v>0</v>
      </c>
      <c r="AF19" s="34">
        <v>1542</v>
      </c>
      <c r="AG19" s="51">
        <v>43165</v>
      </c>
      <c r="AH19" s="39">
        <v>2451260</v>
      </c>
      <c r="AI19" s="112" t="s">
        <v>315</v>
      </c>
      <c r="AJ19" s="18">
        <v>3</v>
      </c>
      <c r="AK19" s="39">
        <f t="shared" si="0"/>
        <v>22748740</v>
      </c>
      <c r="AL19" s="39">
        <v>2451260</v>
      </c>
      <c r="AM19" s="39">
        <f t="shared" si="1"/>
        <v>0</v>
      </c>
      <c r="AN19" s="34"/>
      <c r="AO19" s="41">
        <f t="shared" si="2"/>
        <v>22748740</v>
      </c>
      <c r="AP19" s="34"/>
      <c r="AQ19" s="52">
        <v>43102</v>
      </c>
      <c r="AR19" s="24" t="s">
        <v>312</v>
      </c>
      <c r="AS19" s="52">
        <v>43102</v>
      </c>
      <c r="AT19" s="24" t="s">
        <v>316</v>
      </c>
    </row>
    <row r="20" spans="1:46" ht="114.75" x14ac:dyDescent="0.25">
      <c r="A20" s="18">
        <f t="shared" si="6"/>
        <v>15</v>
      </c>
      <c r="B20" s="19" t="str">
        <f t="shared" si="3"/>
        <v>208-15</v>
      </c>
      <c r="C20" s="20" t="s">
        <v>285</v>
      </c>
      <c r="D20" s="21" t="s">
        <v>286</v>
      </c>
      <c r="E20" s="22" t="s">
        <v>287</v>
      </c>
      <c r="F20" s="25" t="s">
        <v>53</v>
      </c>
      <c r="G20" s="42" t="s">
        <v>54</v>
      </c>
      <c r="H20" s="25" t="s">
        <v>305</v>
      </c>
      <c r="I20" s="25" t="s">
        <v>56</v>
      </c>
      <c r="J20" s="25" t="s">
        <v>57</v>
      </c>
      <c r="K20" s="18">
        <v>801116</v>
      </c>
      <c r="L20" s="25" t="s">
        <v>58</v>
      </c>
      <c r="M20" s="25" t="s">
        <v>59</v>
      </c>
      <c r="N20" s="25" t="s">
        <v>60</v>
      </c>
      <c r="O20" s="25" t="s">
        <v>299</v>
      </c>
      <c r="P20" s="43" t="s">
        <v>317</v>
      </c>
      <c r="Q20" s="28">
        <f t="shared" si="4"/>
        <v>2472000</v>
      </c>
      <c r="R20" s="44">
        <v>1</v>
      </c>
      <c r="S20" s="30">
        <v>28428000</v>
      </c>
      <c r="T20" s="31" t="s">
        <v>318</v>
      </c>
      <c r="U20" s="46" t="s">
        <v>68</v>
      </c>
      <c r="V20" s="46" t="s">
        <v>308</v>
      </c>
      <c r="W20" s="53">
        <v>11.5</v>
      </c>
      <c r="X20" s="34">
        <v>100</v>
      </c>
      <c r="Y20" s="47">
        <v>43102</v>
      </c>
      <c r="Z20" s="54">
        <v>28428000</v>
      </c>
      <c r="AA20" s="37"/>
      <c r="AB20" s="37">
        <v>48</v>
      </c>
      <c r="AC20" s="50">
        <v>43103</v>
      </c>
      <c r="AD20" s="39">
        <v>28428000</v>
      </c>
      <c r="AE20" s="39">
        <f t="shared" si="5"/>
        <v>0</v>
      </c>
      <c r="AF20" s="34">
        <v>80</v>
      </c>
      <c r="AG20" s="51">
        <v>43116</v>
      </c>
      <c r="AH20" s="39">
        <v>28428000</v>
      </c>
      <c r="AI20" s="18" t="s">
        <v>319</v>
      </c>
      <c r="AJ20" s="18">
        <v>55</v>
      </c>
      <c r="AK20" s="39">
        <f t="shared" si="0"/>
        <v>0</v>
      </c>
      <c r="AL20" s="39">
        <v>2636799.9</v>
      </c>
      <c r="AM20" s="39">
        <f t="shared" si="1"/>
        <v>25791200.100000001</v>
      </c>
      <c r="AN20" s="34"/>
      <c r="AO20" s="41">
        <f t="shared" si="2"/>
        <v>0</v>
      </c>
      <c r="AP20" s="34"/>
      <c r="AQ20" s="52">
        <v>43102</v>
      </c>
      <c r="AR20" s="24" t="s">
        <v>312</v>
      </c>
      <c r="AS20" s="52">
        <v>43102</v>
      </c>
      <c r="AT20" s="24" t="s">
        <v>313</v>
      </c>
    </row>
    <row r="21" spans="1:46" ht="102" x14ac:dyDescent="0.25">
      <c r="A21" s="18">
        <f t="shared" si="6"/>
        <v>16</v>
      </c>
      <c r="B21" s="19" t="str">
        <f t="shared" si="3"/>
        <v>208-16</v>
      </c>
      <c r="C21" s="20" t="s">
        <v>285</v>
      </c>
      <c r="D21" s="21" t="s">
        <v>286</v>
      </c>
      <c r="E21" s="42" t="s">
        <v>295</v>
      </c>
      <c r="F21" s="25" t="s">
        <v>53</v>
      </c>
      <c r="G21" s="42" t="s">
        <v>54</v>
      </c>
      <c r="H21" s="25" t="s">
        <v>305</v>
      </c>
      <c r="I21" s="25" t="s">
        <v>56</v>
      </c>
      <c r="J21" s="25" t="s">
        <v>57</v>
      </c>
      <c r="K21" s="18">
        <v>801116</v>
      </c>
      <c r="L21" s="25" t="s">
        <v>58</v>
      </c>
      <c r="M21" s="25" t="s">
        <v>59</v>
      </c>
      <c r="N21" s="25" t="s">
        <v>60</v>
      </c>
      <c r="O21" s="25" t="s">
        <v>299</v>
      </c>
      <c r="P21" s="43" t="s">
        <v>317</v>
      </c>
      <c r="Q21" s="28">
        <f t="shared" si="4"/>
        <v>5768000</v>
      </c>
      <c r="R21" s="44">
        <v>1</v>
      </c>
      <c r="S21" s="30">
        <v>66332000</v>
      </c>
      <c r="T21" s="31" t="s">
        <v>318</v>
      </c>
      <c r="U21" s="46" t="s">
        <v>68</v>
      </c>
      <c r="V21" s="46" t="s">
        <v>308</v>
      </c>
      <c r="W21" s="53">
        <v>11.5</v>
      </c>
      <c r="X21" s="34">
        <v>99</v>
      </c>
      <c r="Y21" s="47">
        <v>43102</v>
      </c>
      <c r="Z21" s="54">
        <v>66332000</v>
      </c>
      <c r="AA21" s="37"/>
      <c r="AB21" s="37">
        <v>48</v>
      </c>
      <c r="AC21" s="50">
        <v>43103</v>
      </c>
      <c r="AD21" s="39">
        <v>66332000</v>
      </c>
      <c r="AE21" s="39">
        <f t="shared" si="5"/>
        <v>0</v>
      </c>
      <c r="AF21" s="34">
        <v>80</v>
      </c>
      <c r="AG21" s="51">
        <v>43116</v>
      </c>
      <c r="AH21" s="39">
        <v>66332000</v>
      </c>
      <c r="AI21" s="18" t="s">
        <v>319</v>
      </c>
      <c r="AJ21" s="18">
        <v>55</v>
      </c>
      <c r="AK21" s="39">
        <f t="shared" si="0"/>
        <v>0</v>
      </c>
      <c r="AL21" s="39">
        <v>6152533.0999999996</v>
      </c>
      <c r="AM21" s="39">
        <f t="shared" si="1"/>
        <v>60179466.899999999</v>
      </c>
      <c r="AN21" s="34"/>
      <c r="AO21" s="41">
        <f t="shared" si="2"/>
        <v>0</v>
      </c>
      <c r="AP21" s="34"/>
      <c r="AQ21" s="52">
        <v>43102</v>
      </c>
      <c r="AR21" s="24" t="s">
        <v>312</v>
      </c>
      <c r="AS21" s="52">
        <v>43102</v>
      </c>
      <c r="AT21" s="24" t="s">
        <v>313</v>
      </c>
    </row>
    <row r="22" spans="1:46" ht="114.75" x14ac:dyDescent="0.25">
      <c r="A22" s="18">
        <f t="shared" si="6"/>
        <v>17</v>
      </c>
      <c r="B22" s="19" t="str">
        <f t="shared" si="3"/>
        <v>208-17</v>
      </c>
      <c r="C22" s="20" t="s">
        <v>285</v>
      </c>
      <c r="D22" s="21" t="s">
        <v>286</v>
      </c>
      <c r="E22" s="22" t="s">
        <v>287</v>
      </c>
      <c r="F22" s="25" t="s">
        <v>53</v>
      </c>
      <c r="G22" s="42" t="s">
        <v>54</v>
      </c>
      <c r="H22" s="25" t="s">
        <v>305</v>
      </c>
      <c r="I22" s="25" t="s">
        <v>56</v>
      </c>
      <c r="J22" s="25" t="s">
        <v>57</v>
      </c>
      <c r="K22" s="18">
        <v>801116</v>
      </c>
      <c r="L22" s="25" t="s">
        <v>58</v>
      </c>
      <c r="M22" s="25" t="s">
        <v>59</v>
      </c>
      <c r="N22" s="25" t="s">
        <v>60</v>
      </c>
      <c r="O22" s="25" t="s">
        <v>299</v>
      </c>
      <c r="P22" s="43" t="s">
        <v>320</v>
      </c>
      <c r="Q22" s="28">
        <f t="shared" si="4"/>
        <v>1699500</v>
      </c>
      <c r="R22" s="44">
        <v>1</v>
      </c>
      <c r="S22" s="30">
        <v>19544250</v>
      </c>
      <c r="T22" s="31" t="s">
        <v>318</v>
      </c>
      <c r="U22" s="46" t="s">
        <v>68</v>
      </c>
      <c r="V22" s="46" t="s">
        <v>308</v>
      </c>
      <c r="W22" s="53">
        <v>11.5</v>
      </c>
      <c r="X22" s="34">
        <v>98</v>
      </c>
      <c r="Y22" s="47">
        <v>43102</v>
      </c>
      <c r="Z22" s="54">
        <v>19544250</v>
      </c>
      <c r="AA22" s="37"/>
      <c r="AB22" s="37">
        <v>47</v>
      </c>
      <c r="AC22" s="50">
        <v>43103</v>
      </c>
      <c r="AD22" s="39">
        <v>19544250</v>
      </c>
      <c r="AE22" s="39">
        <f t="shared" si="5"/>
        <v>0</v>
      </c>
      <c r="AF22" s="34">
        <v>170</v>
      </c>
      <c r="AG22" s="51">
        <v>43118</v>
      </c>
      <c r="AH22" s="39">
        <v>19544250</v>
      </c>
      <c r="AI22" s="18" t="s">
        <v>321</v>
      </c>
      <c r="AJ22" s="18">
        <v>127</v>
      </c>
      <c r="AK22" s="39">
        <f t="shared" si="0"/>
        <v>0</v>
      </c>
      <c r="AL22" s="39">
        <v>4135449.9</v>
      </c>
      <c r="AM22" s="39">
        <f t="shared" si="1"/>
        <v>15408800.1</v>
      </c>
      <c r="AN22" s="34"/>
      <c r="AO22" s="41">
        <f t="shared" si="2"/>
        <v>0</v>
      </c>
      <c r="AP22" s="34"/>
      <c r="AQ22" s="52">
        <v>43102</v>
      </c>
      <c r="AR22" s="24" t="s">
        <v>312</v>
      </c>
      <c r="AS22" s="52">
        <v>43102</v>
      </c>
      <c r="AT22" s="24" t="s">
        <v>313</v>
      </c>
    </row>
    <row r="23" spans="1:46" ht="102" x14ac:dyDescent="0.25">
      <c r="A23" s="18">
        <f t="shared" si="6"/>
        <v>18</v>
      </c>
      <c r="B23" s="19" t="str">
        <f t="shared" si="3"/>
        <v>208-18</v>
      </c>
      <c r="C23" s="20" t="s">
        <v>285</v>
      </c>
      <c r="D23" s="21" t="s">
        <v>286</v>
      </c>
      <c r="E23" s="42" t="s">
        <v>295</v>
      </c>
      <c r="F23" s="25" t="s">
        <v>53</v>
      </c>
      <c r="G23" s="42" t="s">
        <v>54</v>
      </c>
      <c r="H23" s="25" t="s">
        <v>305</v>
      </c>
      <c r="I23" s="25" t="s">
        <v>56</v>
      </c>
      <c r="J23" s="25" t="s">
        <v>57</v>
      </c>
      <c r="K23" s="18">
        <v>801116</v>
      </c>
      <c r="L23" s="25" t="s">
        <v>58</v>
      </c>
      <c r="M23" s="25" t="s">
        <v>59</v>
      </c>
      <c r="N23" s="25" t="s">
        <v>60</v>
      </c>
      <c r="O23" s="25" t="s">
        <v>299</v>
      </c>
      <c r="P23" s="43" t="s">
        <v>320</v>
      </c>
      <c r="Q23" s="28">
        <f t="shared" si="4"/>
        <v>3965499.9999999995</v>
      </c>
      <c r="R23" s="44">
        <v>1</v>
      </c>
      <c r="S23" s="30">
        <v>45603249.999999993</v>
      </c>
      <c r="T23" s="31" t="s">
        <v>318</v>
      </c>
      <c r="U23" s="46" t="s">
        <v>68</v>
      </c>
      <c r="V23" s="46" t="s">
        <v>308</v>
      </c>
      <c r="W23" s="53">
        <v>11.5</v>
      </c>
      <c r="X23" s="34">
        <v>97</v>
      </c>
      <c r="Y23" s="47">
        <v>43102</v>
      </c>
      <c r="Z23" s="54">
        <v>45603249.999999993</v>
      </c>
      <c r="AA23" s="37"/>
      <c r="AB23" s="37">
        <v>47</v>
      </c>
      <c r="AC23" s="50">
        <v>43103</v>
      </c>
      <c r="AD23" s="39">
        <v>45603249.999999993</v>
      </c>
      <c r="AE23" s="39">
        <f t="shared" si="5"/>
        <v>0</v>
      </c>
      <c r="AF23" s="34">
        <v>170</v>
      </c>
      <c r="AG23" s="51">
        <v>43118</v>
      </c>
      <c r="AH23" s="39">
        <v>45603249.999999993</v>
      </c>
      <c r="AI23" s="18" t="s">
        <v>321</v>
      </c>
      <c r="AJ23" s="18">
        <v>127</v>
      </c>
      <c r="AK23" s="39">
        <f t="shared" si="0"/>
        <v>0</v>
      </c>
      <c r="AL23" s="39">
        <v>9649383.0999999996</v>
      </c>
      <c r="AM23" s="39">
        <f t="shared" si="1"/>
        <v>35953866.899999991</v>
      </c>
      <c r="AN23" s="34"/>
      <c r="AO23" s="41">
        <f t="shared" si="2"/>
        <v>0</v>
      </c>
      <c r="AP23" s="34"/>
      <c r="AQ23" s="52">
        <v>43102</v>
      </c>
      <c r="AR23" s="24" t="s">
        <v>312</v>
      </c>
      <c r="AS23" s="52">
        <v>43102</v>
      </c>
      <c r="AT23" s="24" t="s">
        <v>313</v>
      </c>
    </row>
    <row r="24" spans="1:46" ht="114.75" x14ac:dyDescent="0.25">
      <c r="A24" s="18">
        <f t="shared" si="6"/>
        <v>19</v>
      </c>
      <c r="B24" s="19" t="str">
        <f t="shared" si="3"/>
        <v>208-19</v>
      </c>
      <c r="C24" s="20" t="s">
        <v>285</v>
      </c>
      <c r="D24" s="21" t="s">
        <v>286</v>
      </c>
      <c r="E24" s="22" t="s">
        <v>287</v>
      </c>
      <c r="F24" s="25" t="s">
        <v>53</v>
      </c>
      <c r="G24" s="42" t="s">
        <v>54</v>
      </c>
      <c r="H24" s="25" t="s">
        <v>305</v>
      </c>
      <c r="I24" s="25" t="s">
        <v>56</v>
      </c>
      <c r="J24" s="25" t="s">
        <v>57</v>
      </c>
      <c r="K24" s="18">
        <v>801116</v>
      </c>
      <c r="L24" s="25" t="s">
        <v>58</v>
      </c>
      <c r="M24" s="25" t="s">
        <v>59</v>
      </c>
      <c r="N24" s="25" t="s">
        <v>60</v>
      </c>
      <c r="O24" s="25" t="s">
        <v>299</v>
      </c>
      <c r="P24" s="43" t="s">
        <v>322</v>
      </c>
      <c r="Q24" s="28">
        <f t="shared" si="4"/>
        <v>1511010</v>
      </c>
      <c r="R24" s="44">
        <v>1</v>
      </c>
      <c r="S24" s="30">
        <v>17376615</v>
      </c>
      <c r="T24" s="31" t="s">
        <v>318</v>
      </c>
      <c r="U24" s="46" t="s">
        <v>68</v>
      </c>
      <c r="V24" s="46" t="s">
        <v>308</v>
      </c>
      <c r="W24" s="53">
        <v>11.5</v>
      </c>
      <c r="X24" s="34">
        <v>96</v>
      </c>
      <c r="Y24" s="47">
        <v>43102</v>
      </c>
      <c r="Z24" s="54">
        <v>17376615</v>
      </c>
      <c r="AA24" s="37"/>
      <c r="AB24" s="37">
        <v>45</v>
      </c>
      <c r="AC24" s="50">
        <v>43103</v>
      </c>
      <c r="AD24" s="39">
        <v>17376615</v>
      </c>
      <c r="AE24" s="39">
        <f t="shared" si="5"/>
        <v>0</v>
      </c>
      <c r="AF24" s="34">
        <v>165</v>
      </c>
      <c r="AG24" s="51">
        <v>43118</v>
      </c>
      <c r="AH24" s="39">
        <v>17376615</v>
      </c>
      <c r="AI24" s="18" t="s">
        <v>323</v>
      </c>
      <c r="AJ24" s="18">
        <v>131</v>
      </c>
      <c r="AK24" s="39">
        <f t="shared" si="0"/>
        <v>0</v>
      </c>
      <c r="AL24" s="39">
        <v>3676791</v>
      </c>
      <c r="AM24" s="39">
        <f t="shared" si="1"/>
        <v>13699824</v>
      </c>
      <c r="AN24" s="34"/>
      <c r="AO24" s="41">
        <f t="shared" si="2"/>
        <v>0</v>
      </c>
      <c r="AP24" s="34"/>
      <c r="AQ24" s="52">
        <v>43102</v>
      </c>
      <c r="AR24" s="24" t="s">
        <v>312</v>
      </c>
      <c r="AS24" s="52">
        <v>43102</v>
      </c>
      <c r="AT24" s="24" t="s">
        <v>313</v>
      </c>
    </row>
    <row r="25" spans="1:46" ht="102" x14ac:dyDescent="0.25">
      <c r="A25" s="18">
        <f t="shared" si="6"/>
        <v>20</v>
      </c>
      <c r="B25" s="19" t="str">
        <f t="shared" si="3"/>
        <v>208-20</v>
      </c>
      <c r="C25" s="20" t="s">
        <v>285</v>
      </c>
      <c r="D25" s="21" t="s">
        <v>286</v>
      </c>
      <c r="E25" s="42" t="s">
        <v>295</v>
      </c>
      <c r="F25" s="25" t="s">
        <v>53</v>
      </c>
      <c r="G25" s="42" t="s">
        <v>54</v>
      </c>
      <c r="H25" s="25" t="s">
        <v>305</v>
      </c>
      <c r="I25" s="25" t="s">
        <v>56</v>
      </c>
      <c r="J25" s="25" t="s">
        <v>57</v>
      </c>
      <c r="K25" s="18">
        <v>801116</v>
      </c>
      <c r="L25" s="25" t="s">
        <v>58</v>
      </c>
      <c r="M25" s="25" t="s">
        <v>59</v>
      </c>
      <c r="N25" s="25" t="s">
        <v>60</v>
      </c>
      <c r="O25" s="25" t="s">
        <v>299</v>
      </c>
      <c r="P25" s="43" t="s">
        <v>322</v>
      </c>
      <c r="Q25" s="28">
        <f t="shared" si="4"/>
        <v>3525690</v>
      </c>
      <c r="R25" s="44">
        <v>1</v>
      </c>
      <c r="S25" s="30">
        <v>40545435</v>
      </c>
      <c r="T25" s="31" t="s">
        <v>318</v>
      </c>
      <c r="U25" s="46" t="s">
        <v>68</v>
      </c>
      <c r="V25" s="46" t="s">
        <v>308</v>
      </c>
      <c r="W25" s="53">
        <v>11.5</v>
      </c>
      <c r="X25" s="34">
        <v>95</v>
      </c>
      <c r="Y25" s="47">
        <v>43102</v>
      </c>
      <c r="Z25" s="54">
        <v>40545435</v>
      </c>
      <c r="AA25" s="37"/>
      <c r="AB25" s="37">
        <v>45</v>
      </c>
      <c r="AC25" s="50">
        <v>43103</v>
      </c>
      <c r="AD25" s="39">
        <v>40545435</v>
      </c>
      <c r="AE25" s="39">
        <f t="shared" si="5"/>
        <v>0</v>
      </c>
      <c r="AF25" s="34">
        <v>165</v>
      </c>
      <c r="AG25" s="51">
        <v>43118</v>
      </c>
      <c r="AH25" s="39">
        <v>40545435</v>
      </c>
      <c r="AI25" s="18" t="s">
        <v>323</v>
      </c>
      <c r="AJ25" s="18">
        <v>131</v>
      </c>
      <c r="AK25" s="39">
        <f t="shared" si="0"/>
        <v>0</v>
      </c>
      <c r="AL25" s="39">
        <v>8579179</v>
      </c>
      <c r="AM25" s="39">
        <f t="shared" si="1"/>
        <v>31966256</v>
      </c>
      <c r="AN25" s="34"/>
      <c r="AO25" s="41">
        <f t="shared" si="2"/>
        <v>0</v>
      </c>
      <c r="AP25" s="34"/>
      <c r="AQ25" s="52">
        <v>43102</v>
      </c>
      <c r="AR25" s="24" t="s">
        <v>312</v>
      </c>
      <c r="AS25" s="52">
        <v>43102</v>
      </c>
      <c r="AT25" s="24" t="s">
        <v>313</v>
      </c>
    </row>
    <row r="26" spans="1:46" ht="127.5" x14ac:dyDescent="0.25">
      <c r="A26" s="18">
        <f t="shared" si="6"/>
        <v>21</v>
      </c>
      <c r="B26" s="19" t="str">
        <f t="shared" si="3"/>
        <v>208-21</v>
      </c>
      <c r="C26" s="20" t="s">
        <v>285</v>
      </c>
      <c r="D26" s="21" t="s">
        <v>286</v>
      </c>
      <c r="E26" s="22" t="s">
        <v>287</v>
      </c>
      <c r="F26" s="25" t="s">
        <v>53</v>
      </c>
      <c r="G26" s="42" t="s">
        <v>54</v>
      </c>
      <c r="H26" s="25" t="s">
        <v>305</v>
      </c>
      <c r="I26" s="25" t="s">
        <v>56</v>
      </c>
      <c r="J26" s="25" t="s">
        <v>57</v>
      </c>
      <c r="K26" s="18">
        <v>801116</v>
      </c>
      <c r="L26" s="25" t="s">
        <v>58</v>
      </c>
      <c r="M26" s="25" t="s">
        <v>59</v>
      </c>
      <c r="N26" s="25" t="s">
        <v>60</v>
      </c>
      <c r="O26" s="25" t="s">
        <v>299</v>
      </c>
      <c r="P26" s="43" t="s">
        <v>324</v>
      </c>
      <c r="Q26" s="28">
        <f t="shared" si="4"/>
        <v>1236000</v>
      </c>
      <c r="R26" s="44">
        <v>1</v>
      </c>
      <c r="S26" s="30">
        <v>14214000</v>
      </c>
      <c r="T26" s="31" t="s">
        <v>318</v>
      </c>
      <c r="U26" s="46" t="s">
        <v>68</v>
      </c>
      <c r="V26" s="46" t="s">
        <v>308</v>
      </c>
      <c r="W26" s="53">
        <v>11.5</v>
      </c>
      <c r="X26" s="34">
        <v>94</v>
      </c>
      <c r="Y26" s="47">
        <v>43102</v>
      </c>
      <c r="Z26" s="54">
        <v>14214000</v>
      </c>
      <c r="AA26" s="37"/>
      <c r="AB26" s="37">
        <v>43</v>
      </c>
      <c r="AC26" s="50">
        <v>43103</v>
      </c>
      <c r="AD26" s="39">
        <v>14214000</v>
      </c>
      <c r="AE26" s="39">
        <f t="shared" si="5"/>
        <v>0</v>
      </c>
      <c r="AF26" s="34">
        <v>185</v>
      </c>
      <c r="AG26" s="51">
        <v>43118</v>
      </c>
      <c r="AH26" s="39">
        <v>14214000</v>
      </c>
      <c r="AI26" s="18" t="s">
        <v>325</v>
      </c>
      <c r="AJ26" s="18">
        <v>136</v>
      </c>
      <c r="AK26" s="39">
        <f t="shared" si="0"/>
        <v>0</v>
      </c>
      <c r="AL26" s="39">
        <v>2966400</v>
      </c>
      <c r="AM26" s="39">
        <f t="shared" si="1"/>
        <v>11247600</v>
      </c>
      <c r="AN26" s="34"/>
      <c r="AO26" s="41">
        <f t="shared" si="2"/>
        <v>0</v>
      </c>
      <c r="AP26" s="34"/>
      <c r="AQ26" s="52">
        <v>43102</v>
      </c>
      <c r="AR26" s="24" t="s">
        <v>312</v>
      </c>
      <c r="AS26" s="52">
        <v>43102</v>
      </c>
      <c r="AT26" s="24" t="s">
        <v>313</v>
      </c>
    </row>
    <row r="27" spans="1:46" ht="127.5" x14ac:dyDescent="0.25">
      <c r="A27" s="18">
        <f t="shared" si="6"/>
        <v>22</v>
      </c>
      <c r="B27" s="19" t="str">
        <f t="shared" si="3"/>
        <v>208-22</v>
      </c>
      <c r="C27" s="20" t="s">
        <v>285</v>
      </c>
      <c r="D27" s="21" t="s">
        <v>286</v>
      </c>
      <c r="E27" s="42" t="s">
        <v>295</v>
      </c>
      <c r="F27" s="25" t="s">
        <v>53</v>
      </c>
      <c r="G27" s="42" t="s">
        <v>54</v>
      </c>
      <c r="H27" s="25" t="s">
        <v>305</v>
      </c>
      <c r="I27" s="25" t="s">
        <v>56</v>
      </c>
      <c r="J27" s="25" t="s">
        <v>57</v>
      </c>
      <c r="K27" s="18">
        <v>801116</v>
      </c>
      <c r="L27" s="25" t="s">
        <v>58</v>
      </c>
      <c r="M27" s="25" t="s">
        <v>59</v>
      </c>
      <c r="N27" s="25" t="s">
        <v>60</v>
      </c>
      <c r="O27" s="25" t="s">
        <v>299</v>
      </c>
      <c r="P27" s="43" t="s">
        <v>324</v>
      </c>
      <c r="Q27" s="28">
        <f t="shared" si="4"/>
        <v>2884000</v>
      </c>
      <c r="R27" s="44">
        <v>1</v>
      </c>
      <c r="S27" s="30">
        <v>33166000</v>
      </c>
      <c r="T27" s="31" t="s">
        <v>318</v>
      </c>
      <c r="U27" s="46" t="s">
        <v>68</v>
      </c>
      <c r="V27" s="46" t="s">
        <v>308</v>
      </c>
      <c r="W27" s="53">
        <v>11.5</v>
      </c>
      <c r="X27" s="34">
        <v>93</v>
      </c>
      <c r="Y27" s="47">
        <v>43102</v>
      </c>
      <c r="Z27" s="54">
        <v>33166000</v>
      </c>
      <c r="AA27" s="37"/>
      <c r="AB27" s="37">
        <v>43</v>
      </c>
      <c r="AC27" s="50">
        <v>43103</v>
      </c>
      <c r="AD27" s="39">
        <v>33166000</v>
      </c>
      <c r="AE27" s="39">
        <f t="shared" si="5"/>
        <v>0</v>
      </c>
      <c r="AF27" s="34">
        <v>185</v>
      </c>
      <c r="AG27" s="51">
        <v>43118</v>
      </c>
      <c r="AH27" s="39">
        <v>33166000</v>
      </c>
      <c r="AI27" s="18" t="s">
        <v>325</v>
      </c>
      <c r="AJ27" s="18">
        <v>136</v>
      </c>
      <c r="AK27" s="39">
        <f t="shared" si="0"/>
        <v>0</v>
      </c>
      <c r="AL27" s="39">
        <v>6921600</v>
      </c>
      <c r="AM27" s="39">
        <f t="shared" si="1"/>
        <v>26244400</v>
      </c>
      <c r="AN27" s="34"/>
      <c r="AO27" s="41">
        <f t="shared" si="2"/>
        <v>0</v>
      </c>
      <c r="AP27" s="34"/>
      <c r="AQ27" s="52">
        <v>43102</v>
      </c>
      <c r="AR27" s="24" t="s">
        <v>312</v>
      </c>
      <c r="AS27" s="52">
        <v>43102</v>
      </c>
      <c r="AT27" s="24" t="s">
        <v>313</v>
      </c>
    </row>
    <row r="28" spans="1:46" ht="114.75" x14ac:dyDescent="0.25">
      <c r="A28" s="18">
        <f t="shared" si="6"/>
        <v>23</v>
      </c>
      <c r="B28" s="19" t="str">
        <f t="shared" si="3"/>
        <v>208-23</v>
      </c>
      <c r="C28" s="20" t="s">
        <v>285</v>
      </c>
      <c r="D28" s="21" t="s">
        <v>286</v>
      </c>
      <c r="E28" s="22" t="s">
        <v>287</v>
      </c>
      <c r="F28" s="25" t="s">
        <v>53</v>
      </c>
      <c r="G28" s="42" t="s">
        <v>54</v>
      </c>
      <c r="H28" s="25" t="s">
        <v>305</v>
      </c>
      <c r="I28" s="25" t="s">
        <v>56</v>
      </c>
      <c r="J28" s="25" t="s">
        <v>57</v>
      </c>
      <c r="K28" s="18">
        <v>801116</v>
      </c>
      <c r="L28" s="25" t="s">
        <v>58</v>
      </c>
      <c r="M28" s="25" t="s">
        <v>59</v>
      </c>
      <c r="N28" s="25" t="s">
        <v>60</v>
      </c>
      <c r="O28" s="25" t="s">
        <v>299</v>
      </c>
      <c r="P28" s="43" t="s">
        <v>320</v>
      </c>
      <c r="Q28" s="28">
        <f t="shared" si="4"/>
        <v>1066050</v>
      </c>
      <c r="R28" s="44">
        <v>1</v>
      </c>
      <c r="S28" s="30">
        <v>12259575</v>
      </c>
      <c r="T28" s="31" t="s">
        <v>318</v>
      </c>
      <c r="U28" s="46" t="s">
        <v>68</v>
      </c>
      <c r="V28" s="46" t="s">
        <v>308</v>
      </c>
      <c r="W28" s="53">
        <v>11.5</v>
      </c>
      <c r="X28" s="34">
        <v>92</v>
      </c>
      <c r="Y28" s="47">
        <v>43102</v>
      </c>
      <c r="Z28" s="54">
        <v>12259575</v>
      </c>
      <c r="AA28" s="37"/>
      <c r="AB28" s="37">
        <v>42</v>
      </c>
      <c r="AC28" s="50">
        <v>43103</v>
      </c>
      <c r="AD28" s="39">
        <v>12259575</v>
      </c>
      <c r="AE28" s="39">
        <f t="shared" si="5"/>
        <v>0</v>
      </c>
      <c r="AF28" s="34">
        <v>329</v>
      </c>
      <c r="AG28" s="51">
        <v>43123</v>
      </c>
      <c r="AH28" s="39">
        <v>12259575</v>
      </c>
      <c r="AI28" s="18" t="s">
        <v>326</v>
      </c>
      <c r="AJ28" s="18">
        <v>288</v>
      </c>
      <c r="AK28" s="39">
        <f t="shared" si="0"/>
        <v>0</v>
      </c>
      <c r="AL28" s="39">
        <v>2416380</v>
      </c>
      <c r="AM28" s="39">
        <f t="shared" si="1"/>
        <v>9843195</v>
      </c>
      <c r="AN28" s="34"/>
      <c r="AO28" s="41">
        <f t="shared" si="2"/>
        <v>0</v>
      </c>
      <c r="AP28" s="34"/>
      <c r="AQ28" s="52">
        <v>43102</v>
      </c>
      <c r="AR28" s="24" t="s">
        <v>312</v>
      </c>
      <c r="AS28" s="52">
        <v>43102</v>
      </c>
      <c r="AT28" s="24" t="s">
        <v>313</v>
      </c>
    </row>
    <row r="29" spans="1:46" ht="102" x14ac:dyDescent="0.25">
      <c r="A29" s="18">
        <f t="shared" si="6"/>
        <v>24</v>
      </c>
      <c r="B29" s="19" t="str">
        <f t="shared" si="3"/>
        <v>208-24</v>
      </c>
      <c r="C29" s="20" t="s">
        <v>285</v>
      </c>
      <c r="D29" s="21" t="s">
        <v>286</v>
      </c>
      <c r="E29" s="42" t="s">
        <v>295</v>
      </c>
      <c r="F29" s="25" t="s">
        <v>53</v>
      </c>
      <c r="G29" s="42" t="s">
        <v>54</v>
      </c>
      <c r="H29" s="25" t="s">
        <v>305</v>
      </c>
      <c r="I29" s="25" t="s">
        <v>56</v>
      </c>
      <c r="J29" s="25" t="s">
        <v>57</v>
      </c>
      <c r="K29" s="18">
        <v>801116</v>
      </c>
      <c r="L29" s="25" t="s">
        <v>58</v>
      </c>
      <c r="M29" s="25" t="s">
        <v>59</v>
      </c>
      <c r="N29" s="25" t="s">
        <v>60</v>
      </c>
      <c r="O29" s="25" t="s">
        <v>299</v>
      </c>
      <c r="P29" s="43" t="s">
        <v>320</v>
      </c>
      <c r="Q29" s="28">
        <f t="shared" si="4"/>
        <v>2487450</v>
      </c>
      <c r="R29" s="44">
        <v>1</v>
      </c>
      <c r="S29" s="30">
        <v>28605675</v>
      </c>
      <c r="T29" s="31" t="s">
        <v>318</v>
      </c>
      <c r="U29" s="46" t="s">
        <v>68</v>
      </c>
      <c r="V29" s="46" t="s">
        <v>308</v>
      </c>
      <c r="W29" s="53">
        <v>11.5</v>
      </c>
      <c r="X29" s="34">
        <v>91</v>
      </c>
      <c r="Y29" s="47">
        <v>43102</v>
      </c>
      <c r="Z29" s="54">
        <v>28605675</v>
      </c>
      <c r="AA29" s="37"/>
      <c r="AB29" s="37">
        <v>42</v>
      </c>
      <c r="AC29" s="50">
        <v>43103</v>
      </c>
      <c r="AD29" s="39">
        <v>28605675</v>
      </c>
      <c r="AE29" s="39">
        <f t="shared" si="5"/>
        <v>0</v>
      </c>
      <c r="AF29" s="34">
        <v>329</v>
      </c>
      <c r="AG29" s="51">
        <v>43123</v>
      </c>
      <c r="AH29" s="39">
        <v>28605675</v>
      </c>
      <c r="AI29" s="18" t="s">
        <v>326</v>
      </c>
      <c r="AJ29" s="18">
        <v>288</v>
      </c>
      <c r="AK29" s="39">
        <f t="shared" si="0"/>
        <v>0</v>
      </c>
      <c r="AL29" s="39">
        <v>5638220</v>
      </c>
      <c r="AM29" s="39">
        <f t="shared" si="1"/>
        <v>22967455</v>
      </c>
      <c r="AN29" s="34"/>
      <c r="AO29" s="41">
        <f t="shared" si="2"/>
        <v>0</v>
      </c>
      <c r="AP29" s="34"/>
      <c r="AQ29" s="52">
        <v>43102</v>
      </c>
      <c r="AR29" s="24" t="s">
        <v>312</v>
      </c>
      <c r="AS29" s="52">
        <v>43102</v>
      </c>
      <c r="AT29" s="24" t="s">
        <v>313</v>
      </c>
    </row>
    <row r="30" spans="1:46" ht="127.5" x14ac:dyDescent="0.25">
      <c r="A30" s="18">
        <f t="shared" si="6"/>
        <v>25</v>
      </c>
      <c r="B30" s="19" t="str">
        <f t="shared" si="3"/>
        <v>208-25</v>
      </c>
      <c r="C30" s="20" t="s">
        <v>285</v>
      </c>
      <c r="D30" s="21" t="s">
        <v>286</v>
      </c>
      <c r="E30" s="22" t="s">
        <v>287</v>
      </c>
      <c r="F30" s="25" t="s">
        <v>53</v>
      </c>
      <c r="G30" s="42" t="s">
        <v>54</v>
      </c>
      <c r="H30" s="25" t="s">
        <v>305</v>
      </c>
      <c r="I30" s="25" t="s">
        <v>56</v>
      </c>
      <c r="J30" s="25" t="s">
        <v>57</v>
      </c>
      <c r="K30" s="18">
        <v>801116</v>
      </c>
      <c r="L30" s="25" t="s">
        <v>58</v>
      </c>
      <c r="M30" s="25" t="s">
        <v>59</v>
      </c>
      <c r="N30" s="25" t="s">
        <v>60</v>
      </c>
      <c r="O30" s="25" t="s">
        <v>299</v>
      </c>
      <c r="P30" s="43" t="s">
        <v>327</v>
      </c>
      <c r="Q30" s="28">
        <f t="shared" si="4"/>
        <v>998070</v>
      </c>
      <c r="R30" s="44">
        <v>1</v>
      </c>
      <c r="S30" s="30">
        <v>11477805</v>
      </c>
      <c r="T30" s="31" t="s">
        <v>318</v>
      </c>
      <c r="U30" s="46" t="s">
        <v>68</v>
      </c>
      <c r="V30" s="46" t="s">
        <v>308</v>
      </c>
      <c r="W30" s="53">
        <v>11.5</v>
      </c>
      <c r="X30" s="34">
        <v>90</v>
      </c>
      <c r="Y30" s="47">
        <v>43102</v>
      </c>
      <c r="Z30" s="54">
        <v>11477805</v>
      </c>
      <c r="AA30" s="37"/>
      <c r="AB30" s="37">
        <v>41</v>
      </c>
      <c r="AC30" s="50">
        <v>43103</v>
      </c>
      <c r="AD30" s="39">
        <v>11477805</v>
      </c>
      <c r="AE30" s="39">
        <f t="shared" si="5"/>
        <v>0</v>
      </c>
      <c r="AF30" s="34">
        <v>120</v>
      </c>
      <c r="AG30" s="51">
        <v>43117</v>
      </c>
      <c r="AH30" s="39">
        <v>11477805</v>
      </c>
      <c r="AI30" s="18" t="s">
        <v>328</v>
      </c>
      <c r="AJ30" s="18">
        <v>99</v>
      </c>
      <c r="AK30" s="39">
        <f t="shared" si="0"/>
        <v>0</v>
      </c>
      <c r="AL30" s="113">
        <v>2428636.7999999998</v>
      </c>
      <c r="AM30" s="39">
        <f t="shared" si="1"/>
        <v>9049168.1999999993</v>
      </c>
      <c r="AN30" s="34"/>
      <c r="AO30" s="41">
        <f t="shared" si="2"/>
        <v>0</v>
      </c>
      <c r="AP30" s="34"/>
      <c r="AQ30" s="52">
        <v>43102</v>
      </c>
      <c r="AR30" s="24" t="s">
        <v>312</v>
      </c>
      <c r="AS30" s="52">
        <v>43102</v>
      </c>
      <c r="AT30" s="24" t="s">
        <v>313</v>
      </c>
    </row>
    <row r="31" spans="1:46" ht="127.5" x14ac:dyDescent="0.25">
      <c r="A31" s="18">
        <f t="shared" si="6"/>
        <v>26</v>
      </c>
      <c r="B31" s="19" t="str">
        <f t="shared" si="3"/>
        <v>208-26</v>
      </c>
      <c r="C31" s="20" t="s">
        <v>285</v>
      </c>
      <c r="D31" s="21" t="s">
        <v>286</v>
      </c>
      <c r="E31" s="42" t="s">
        <v>295</v>
      </c>
      <c r="F31" s="25" t="s">
        <v>53</v>
      </c>
      <c r="G31" s="42" t="s">
        <v>54</v>
      </c>
      <c r="H31" s="25" t="s">
        <v>305</v>
      </c>
      <c r="I31" s="25" t="s">
        <v>56</v>
      </c>
      <c r="J31" s="25" t="s">
        <v>57</v>
      </c>
      <c r="K31" s="18">
        <v>801116</v>
      </c>
      <c r="L31" s="25" t="s">
        <v>58</v>
      </c>
      <c r="M31" s="25" t="s">
        <v>59</v>
      </c>
      <c r="N31" s="25" t="s">
        <v>60</v>
      </c>
      <c r="O31" s="25" t="s">
        <v>299</v>
      </c>
      <c r="P31" s="43" t="s">
        <v>327</v>
      </c>
      <c r="Q31" s="28">
        <f t="shared" si="4"/>
        <v>2328830</v>
      </c>
      <c r="R31" s="44">
        <v>1</v>
      </c>
      <c r="S31" s="30">
        <v>26781545</v>
      </c>
      <c r="T31" s="31" t="s">
        <v>318</v>
      </c>
      <c r="U31" s="46" t="s">
        <v>68</v>
      </c>
      <c r="V31" s="46" t="s">
        <v>308</v>
      </c>
      <c r="W31" s="53">
        <v>11.5</v>
      </c>
      <c r="X31" s="34">
        <v>89</v>
      </c>
      <c r="Y31" s="47">
        <v>43102</v>
      </c>
      <c r="Z31" s="54">
        <v>26781545</v>
      </c>
      <c r="AA31" s="37"/>
      <c r="AB31" s="37">
        <v>41</v>
      </c>
      <c r="AC31" s="50">
        <v>43103</v>
      </c>
      <c r="AD31" s="39">
        <v>26781545</v>
      </c>
      <c r="AE31" s="39">
        <f t="shared" si="5"/>
        <v>0</v>
      </c>
      <c r="AF31" s="34">
        <v>120</v>
      </c>
      <c r="AG31" s="51">
        <v>43117</v>
      </c>
      <c r="AH31" s="39">
        <v>26781545</v>
      </c>
      <c r="AI31" s="18" t="s">
        <v>328</v>
      </c>
      <c r="AJ31" s="18">
        <v>99</v>
      </c>
      <c r="AK31" s="39">
        <f t="shared" si="0"/>
        <v>0</v>
      </c>
      <c r="AL31" s="39">
        <v>5666819.1999999993</v>
      </c>
      <c r="AM31" s="39">
        <f t="shared" si="1"/>
        <v>21114725.800000001</v>
      </c>
      <c r="AN31" s="34"/>
      <c r="AO31" s="41">
        <f t="shared" si="2"/>
        <v>0</v>
      </c>
      <c r="AP31" s="34"/>
      <c r="AQ31" s="52">
        <v>43102</v>
      </c>
      <c r="AR31" s="24" t="s">
        <v>312</v>
      </c>
      <c r="AS31" s="52">
        <v>43102</v>
      </c>
      <c r="AT31" s="24" t="s">
        <v>313</v>
      </c>
    </row>
    <row r="32" spans="1:46" ht="114.75" x14ac:dyDescent="0.25">
      <c r="A32" s="18">
        <f t="shared" si="6"/>
        <v>27</v>
      </c>
      <c r="B32" s="19" t="str">
        <f t="shared" si="3"/>
        <v>208-27</v>
      </c>
      <c r="C32" s="20" t="s">
        <v>285</v>
      </c>
      <c r="D32" s="21" t="s">
        <v>286</v>
      </c>
      <c r="E32" s="22" t="s">
        <v>287</v>
      </c>
      <c r="F32" s="25" t="s">
        <v>53</v>
      </c>
      <c r="G32" s="42" t="s">
        <v>54</v>
      </c>
      <c r="H32" s="25" t="s">
        <v>305</v>
      </c>
      <c r="I32" s="25" t="s">
        <v>56</v>
      </c>
      <c r="J32" s="25" t="s">
        <v>57</v>
      </c>
      <c r="K32" s="18">
        <v>801116</v>
      </c>
      <c r="L32" s="25" t="s">
        <v>58</v>
      </c>
      <c r="M32" s="25" t="s">
        <v>59</v>
      </c>
      <c r="N32" s="25" t="s">
        <v>60</v>
      </c>
      <c r="O32" s="25" t="s">
        <v>299</v>
      </c>
      <c r="P32" s="43" t="s">
        <v>329</v>
      </c>
      <c r="Q32" s="28">
        <f t="shared" si="4"/>
        <v>741600</v>
      </c>
      <c r="R32" s="44">
        <v>1</v>
      </c>
      <c r="S32" s="30">
        <v>8528400</v>
      </c>
      <c r="T32" s="31" t="s">
        <v>318</v>
      </c>
      <c r="U32" s="46" t="s">
        <v>68</v>
      </c>
      <c r="V32" s="46" t="s">
        <v>308</v>
      </c>
      <c r="W32" s="53">
        <v>11.5</v>
      </c>
      <c r="X32" s="34">
        <v>88</v>
      </c>
      <c r="Y32" s="47">
        <v>43102</v>
      </c>
      <c r="Z32" s="54">
        <v>8528400</v>
      </c>
      <c r="AA32" s="37"/>
      <c r="AB32" s="37">
        <v>39</v>
      </c>
      <c r="AC32" s="50">
        <v>43103</v>
      </c>
      <c r="AD32" s="39">
        <v>8528400</v>
      </c>
      <c r="AE32" s="39">
        <f t="shared" si="5"/>
        <v>0</v>
      </c>
      <c r="AF32" s="34">
        <v>119</v>
      </c>
      <c r="AG32" s="51">
        <v>43117</v>
      </c>
      <c r="AH32" s="39">
        <v>8528400</v>
      </c>
      <c r="AI32" s="18" t="s">
        <v>330</v>
      </c>
      <c r="AJ32" s="18">
        <v>98</v>
      </c>
      <c r="AK32" s="39">
        <f t="shared" si="0"/>
        <v>0</v>
      </c>
      <c r="AL32" s="39">
        <v>1804560</v>
      </c>
      <c r="AM32" s="39">
        <f t="shared" si="1"/>
        <v>6723840</v>
      </c>
      <c r="AN32" s="34"/>
      <c r="AO32" s="41">
        <f t="shared" si="2"/>
        <v>0</v>
      </c>
      <c r="AP32" s="34"/>
      <c r="AQ32" s="52">
        <v>43102</v>
      </c>
      <c r="AR32" s="24" t="s">
        <v>312</v>
      </c>
      <c r="AS32" s="52">
        <v>43102</v>
      </c>
      <c r="AT32" s="24" t="s">
        <v>313</v>
      </c>
    </row>
    <row r="33" spans="1:46" ht="102" x14ac:dyDescent="0.25">
      <c r="A33" s="18">
        <f t="shared" si="6"/>
        <v>28</v>
      </c>
      <c r="B33" s="19" t="str">
        <f t="shared" si="3"/>
        <v>208-28</v>
      </c>
      <c r="C33" s="20" t="s">
        <v>285</v>
      </c>
      <c r="D33" s="21" t="s">
        <v>286</v>
      </c>
      <c r="E33" s="42" t="s">
        <v>295</v>
      </c>
      <c r="F33" s="25" t="s">
        <v>53</v>
      </c>
      <c r="G33" s="42" t="s">
        <v>54</v>
      </c>
      <c r="H33" s="25" t="s">
        <v>305</v>
      </c>
      <c r="I33" s="25" t="s">
        <v>56</v>
      </c>
      <c r="J33" s="25" t="s">
        <v>57</v>
      </c>
      <c r="K33" s="18">
        <v>801116</v>
      </c>
      <c r="L33" s="25" t="s">
        <v>58</v>
      </c>
      <c r="M33" s="25" t="s">
        <v>59</v>
      </c>
      <c r="N33" s="25" t="s">
        <v>60</v>
      </c>
      <c r="O33" s="25" t="s">
        <v>299</v>
      </c>
      <c r="P33" s="43" t="s">
        <v>329</v>
      </c>
      <c r="Q33" s="28">
        <f t="shared" si="4"/>
        <v>1730400</v>
      </c>
      <c r="R33" s="44">
        <v>1</v>
      </c>
      <c r="S33" s="30">
        <v>19899600</v>
      </c>
      <c r="T33" s="31" t="s">
        <v>318</v>
      </c>
      <c r="U33" s="46" t="s">
        <v>68</v>
      </c>
      <c r="V33" s="46" t="s">
        <v>308</v>
      </c>
      <c r="W33" s="53">
        <v>11.5</v>
      </c>
      <c r="X33" s="34">
        <v>87</v>
      </c>
      <c r="Y33" s="47">
        <v>43102</v>
      </c>
      <c r="Z33" s="54">
        <v>19899600</v>
      </c>
      <c r="AA33" s="37"/>
      <c r="AB33" s="37">
        <v>39</v>
      </c>
      <c r="AC33" s="50">
        <v>43103</v>
      </c>
      <c r="AD33" s="39">
        <v>19899600</v>
      </c>
      <c r="AE33" s="39">
        <f t="shared" si="5"/>
        <v>0</v>
      </c>
      <c r="AF33" s="34">
        <v>119</v>
      </c>
      <c r="AG33" s="51">
        <v>43117</v>
      </c>
      <c r="AH33" s="39">
        <v>19899600</v>
      </c>
      <c r="AI33" s="18" t="s">
        <v>330</v>
      </c>
      <c r="AJ33" s="18">
        <v>98</v>
      </c>
      <c r="AK33" s="39">
        <f t="shared" si="0"/>
        <v>0</v>
      </c>
      <c r="AL33" s="39">
        <v>4210640</v>
      </c>
      <c r="AM33" s="39">
        <f t="shared" si="1"/>
        <v>15688960</v>
      </c>
      <c r="AN33" s="34"/>
      <c r="AO33" s="41">
        <f t="shared" si="2"/>
        <v>0</v>
      </c>
      <c r="AP33" s="34"/>
      <c r="AQ33" s="52">
        <v>43102</v>
      </c>
      <c r="AR33" s="24" t="s">
        <v>312</v>
      </c>
      <c r="AS33" s="52">
        <v>43102</v>
      </c>
      <c r="AT33" s="24" t="s">
        <v>313</v>
      </c>
    </row>
    <row r="34" spans="1:46" ht="114.75" x14ac:dyDescent="0.25">
      <c r="A34" s="18">
        <f t="shared" si="6"/>
        <v>29</v>
      </c>
      <c r="B34" s="19" t="str">
        <f t="shared" si="3"/>
        <v>208-29</v>
      </c>
      <c r="C34" s="20" t="s">
        <v>285</v>
      </c>
      <c r="D34" s="21" t="s">
        <v>286</v>
      </c>
      <c r="E34" s="22" t="s">
        <v>287</v>
      </c>
      <c r="F34" s="25" t="s">
        <v>53</v>
      </c>
      <c r="G34" s="42" t="s">
        <v>54</v>
      </c>
      <c r="H34" s="25" t="s">
        <v>305</v>
      </c>
      <c r="I34" s="25" t="s">
        <v>56</v>
      </c>
      <c r="J34" s="25" t="s">
        <v>57</v>
      </c>
      <c r="K34" s="18">
        <v>801116</v>
      </c>
      <c r="L34" s="25" t="s">
        <v>58</v>
      </c>
      <c r="M34" s="25" t="s">
        <v>59</v>
      </c>
      <c r="N34" s="25" t="s">
        <v>60</v>
      </c>
      <c r="O34" s="25" t="s">
        <v>299</v>
      </c>
      <c r="P34" s="43" t="s">
        <v>331</v>
      </c>
      <c r="Q34" s="28">
        <f t="shared" si="4"/>
        <v>1500000</v>
      </c>
      <c r="R34" s="44">
        <v>1</v>
      </c>
      <c r="S34" s="30">
        <f>24874500-7624500</f>
        <v>17250000</v>
      </c>
      <c r="T34" s="31" t="s">
        <v>318</v>
      </c>
      <c r="U34" s="46" t="s">
        <v>68</v>
      </c>
      <c r="V34" s="46" t="s">
        <v>308</v>
      </c>
      <c r="W34" s="53">
        <v>11.5</v>
      </c>
      <c r="X34" s="34" t="s">
        <v>332</v>
      </c>
      <c r="Y34" s="47">
        <v>43118</v>
      </c>
      <c r="Z34" s="54">
        <v>17250000</v>
      </c>
      <c r="AA34" s="37"/>
      <c r="AB34" s="37">
        <v>530</v>
      </c>
      <c r="AC34" s="50">
        <v>43118</v>
      </c>
      <c r="AD34" s="39">
        <f>24874500-7624500</f>
        <v>17250000</v>
      </c>
      <c r="AE34" s="39">
        <f t="shared" si="5"/>
        <v>0</v>
      </c>
      <c r="AF34" s="34">
        <v>332</v>
      </c>
      <c r="AG34" s="51">
        <v>43123</v>
      </c>
      <c r="AH34" s="39">
        <f>24874500-7624500</f>
        <v>17250000</v>
      </c>
      <c r="AI34" s="18" t="s">
        <v>333</v>
      </c>
      <c r="AJ34" s="18">
        <v>282</v>
      </c>
      <c r="AK34" s="39">
        <f t="shared" si="0"/>
        <v>0</v>
      </c>
      <c r="AL34" s="39">
        <v>3050000.1</v>
      </c>
      <c r="AM34" s="39">
        <f t="shared" si="1"/>
        <v>14199999.9</v>
      </c>
      <c r="AN34" s="34"/>
      <c r="AO34" s="41">
        <f t="shared" si="2"/>
        <v>0</v>
      </c>
      <c r="AP34" s="34"/>
      <c r="AQ34" s="52">
        <v>43118</v>
      </c>
      <c r="AR34" s="24" t="s">
        <v>312</v>
      </c>
      <c r="AS34" s="52">
        <v>43118</v>
      </c>
      <c r="AT34" s="24" t="s">
        <v>313</v>
      </c>
    </row>
    <row r="35" spans="1:46" ht="102" x14ac:dyDescent="0.25">
      <c r="A35" s="18">
        <f t="shared" si="6"/>
        <v>30</v>
      </c>
      <c r="B35" s="19" t="str">
        <f t="shared" si="3"/>
        <v>208-30</v>
      </c>
      <c r="C35" s="20" t="s">
        <v>285</v>
      </c>
      <c r="D35" s="21" t="s">
        <v>286</v>
      </c>
      <c r="E35" s="42" t="s">
        <v>295</v>
      </c>
      <c r="F35" s="25" t="s">
        <v>53</v>
      </c>
      <c r="G35" s="42" t="s">
        <v>54</v>
      </c>
      <c r="H35" s="25" t="s">
        <v>305</v>
      </c>
      <c r="I35" s="25" t="s">
        <v>56</v>
      </c>
      <c r="J35" s="25" t="s">
        <v>57</v>
      </c>
      <c r="K35" s="18">
        <v>801116</v>
      </c>
      <c r="L35" s="25" t="s">
        <v>58</v>
      </c>
      <c r="M35" s="25" t="s">
        <v>59</v>
      </c>
      <c r="N35" s="25" t="s">
        <v>60</v>
      </c>
      <c r="O35" s="25" t="s">
        <v>299</v>
      </c>
      <c r="P35" s="43" t="s">
        <v>331</v>
      </c>
      <c r="Q35" s="28">
        <f t="shared" si="4"/>
        <v>3500000</v>
      </c>
      <c r="R35" s="44">
        <v>1</v>
      </c>
      <c r="S35" s="30">
        <f>58040500-17790500</f>
        <v>40250000</v>
      </c>
      <c r="T35" s="31" t="s">
        <v>318</v>
      </c>
      <c r="U35" s="46" t="s">
        <v>68</v>
      </c>
      <c r="V35" s="46" t="s">
        <v>308</v>
      </c>
      <c r="W35" s="53">
        <v>11.5</v>
      </c>
      <c r="X35" s="34" t="s">
        <v>334</v>
      </c>
      <c r="Y35" s="47">
        <v>43118</v>
      </c>
      <c r="Z35" s="54">
        <v>40250000</v>
      </c>
      <c r="AA35" s="37"/>
      <c r="AB35" s="37">
        <v>530</v>
      </c>
      <c r="AC35" s="50">
        <v>43118</v>
      </c>
      <c r="AD35" s="39">
        <f>58040500-17790500</f>
        <v>40250000</v>
      </c>
      <c r="AE35" s="39">
        <f t="shared" si="5"/>
        <v>0</v>
      </c>
      <c r="AF35" s="34">
        <v>332</v>
      </c>
      <c r="AG35" s="51">
        <v>43123</v>
      </c>
      <c r="AH35" s="39">
        <f>58040500-17790500</f>
        <v>40250000</v>
      </c>
      <c r="AI35" s="18" t="s">
        <v>333</v>
      </c>
      <c r="AJ35" s="18">
        <v>282</v>
      </c>
      <c r="AK35" s="39">
        <f t="shared" si="0"/>
        <v>0</v>
      </c>
      <c r="AL35" s="39">
        <v>7116666.8999999994</v>
      </c>
      <c r="AM35" s="39">
        <f t="shared" si="1"/>
        <v>33133333.100000001</v>
      </c>
      <c r="AN35" s="34"/>
      <c r="AO35" s="41">
        <f t="shared" si="2"/>
        <v>0</v>
      </c>
      <c r="AP35" s="34"/>
      <c r="AQ35" s="52">
        <v>43118</v>
      </c>
      <c r="AR35" s="24" t="s">
        <v>312</v>
      </c>
      <c r="AS35" s="52">
        <v>43118</v>
      </c>
      <c r="AT35" s="24" t="s">
        <v>313</v>
      </c>
    </row>
    <row r="36" spans="1:46" ht="114.75" x14ac:dyDescent="0.25">
      <c r="A36" s="18">
        <f t="shared" si="6"/>
        <v>31</v>
      </c>
      <c r="B36" s="19" t="str">
        <f t="shared" si="3"/>
        <v>208-31</v>
      </c>
      <c r="C36" s="20" t="s">
        <v>285</v>
      </c>
      <c r="D36" s="21" t="s">
        <v>286</v>
      </c>
      <c r="E36" s="22" t="s">
        <v>287</v>
      </c>
      <c r="F36" s="25" t="s">
        <v>53</v>
      </c>
      <c r="G36" s="42" t="s">
        <v>54</v>
      </c>
      <c r="H36" s="25" t="s">
        <v>305</v>
      </c>
      <c r="I36" s="25" t="s">
        <v>56</v>
      </c>
      <c r="J36" s="25" t="s">
        <v>57</v>
      </c>
      <c r="K36" s="18">
        <v>801116</v>
      </c>
      <c r="L36" s="25" t="s">
        <v>58</v>
      </c>
      <c r="M36" s="25" t="s">
        <v>59</v>
      </c>
      <c r="N36" s="25" t="s">
        <v>60</v>
      </c>
      <c r="O36" s="25" t="s">
        <v>299</v>
      </c>
      <c r="P36" s="43" t="s">
        <v>335</v>
      </c>
      <c r="Q36" s="28">
        <f t="shared" si="4"/>
        <v>1511010</v>
      </c>
      <c r="R36" s="44">
        <v>1</v>
      </c>
      <c r="S36" s="30">
        <v>17376615</v>
      </c>
      <c r="T36" s="31" t="s">
        <v>318</v>
      </c>
      <c r="U36" s="46" t="s">
        <v>68</v>
      </c>
      <c r="V36" s="46" t="s">
        <v>308</v>
      </c>
      <c r="W36" s="53">
        <v>11.5</v>
      </c>
      <c r="X36" s="34" t="s">
        <v>336</v>
      </c>
      <c r="Y36" s="47"/>
      <c r="Z36" s="54"/>
      <c r="AA36" s="37"/>
      <c r="AB36" s="37"/>
      <c r="AC36" s="38"/>
      <c r="AD36" s="39"/>
      <c r="AE36" s="39">
        <f t="shared" si="5"/>
        <v>17376615</v>
      </c>
      <c r="AF36" s="34"/>
      <c r="AG36" s="40"/>
      <c r="AH36" s="39"/>
      <c r="AI36" s="18"/>
      <c r="AJ36" s="18"/>
      <c r="AK36" s="39">
        <f t="shared" si="0"/>
        <v>0</v>
      </c>
      <c r="AL36" s="39"/>
      <c r="AM36" s="39">
        <f t="shared" si="1"/>
        <v>0</v>
      </c>
      <c r="AN36" s="34"/>
      <c r="AO36" s="41">
        <f t="shared" si="2"/>
        <v>17376615</v>
      </c>
      <c r="AP36" s="34"/>
      <c r="AQ36" s="52"/>
      <c r="AR36" s="24"/>
      <c r="AS36" s="52"/>
      <c r="AT36" s="24"/>
    </row>
    <row r="37" spans="1:46" ht="102" x14ac:dyDescent="0.25">
      <c r="A37" s="18">
        <f t="shared" si="6"/>
        <v>32</v>
      </c>
      <c r="B37" s="19" t="str">
        <f t="shared" si="3"/>
        <v>208-32</v>
      </c>
      <c r="C37" s="20" t="s">
        <v>285</v>
      </c>
      <c r="D37" s="21" t="s">
        <v>286</v>
      </c>
      <c r="E37" s="42" t="s">
        <v>295</v>
      </c>
      <c r="F37" s="25" t="s">
        <v>53</v>
      </c>
      <c r="G37" s="42" t="s">
        <v>54</v>
      </c>
      <c r="H37" s="25" t="s">
        <v>305</v>
      </c>
      <c r="I37" s="25" t="s">
        <v>56</v>
      </c>
      <c r="J37" s="25" t="s">
        <v>57</v>
      </c>
      <c r="K37" s="18">
        <v>801116</v>
      </c>
      <c r="L37" s="25" t="s">
        <v>58</v>
      </c>
      <c r="M37" s="25" t="s">
        <v>59</v>
      </c>
      <c r="N37" s="25" t="s">
        <v>60</v>
      </c>
      <c r="O37" s="25" t="s">
        <v>299</v>
      </c>
      <c r="P37" s="43" t="s">
        <v>335</v>
      </c>
      <c r="Q37" s="28">
        <f t="shared" si="4"/>
        <v>3525690</v>
      </c>
      <c r="R37" s="44">
        <v>1</v>
      </c>
      <c r="S37" s="30">
        <v>40545435</v>
      </c>
      <c r="T37" s="31" t="s">
        <v>318</v>
      </c>
      <c r="U37" s="46" t="s">
        <v>68</v>
      </c>
      <c r="V37" s="46" t="s">
        <v>308</v>
      </c>
      <c r="W37" s="53">
        <v>11.5</v>
      </c>
      <c r="X37" s="34" t="s">
        <v>337</v>
      </c>
      <c r="Y37" s="47"/>
      <c r="Z37" s="54"/>
      <c r="AA37" s="37"/>
      <c r="AB37" s="37"/>
      <c r="AC37" s="38"/>
      <c r="AD37" s="39"/>
      <c r="AE37" s="39">
        <f t="shared" si="5"/>
        <v>40545435</v>
      </c>
      <c r="AF37" s="34"/>
      <c r="AG37" s="40"/>
      <c r="AH37" s="39"/>
      <c r="AI37" s="18"/>
      <c r="AJ37" s="18"/>
      <c r="AK37" s="39">
        <f t="shared" si="0"/>
        <v>0</v>
      </c>
      <c r="AL37" s="39"/>
      <c r="AM37" s="39">
        <f t="shared" si="1"/>
        <v>0</v>
      </c>
      <c r="AN37" s="34"/>
      <c r="AO37" s="41">
        <f t="shared" si="2"/>
        <v>40545435</v>
      </c>
      <c r="AP37" s="34"/>
      <c r="AQ37" s="52"/>
      <c r="AR37" s="24"/>
      <c r="AS37" s="52"/>
      <c r="AT37" s="24"/>
    </row>
    <row r="38" spans="1:46" ht="114.75" x14ac:dyDescent="0.25">
      <c r="A38" s="18">
        <f t="shared" si="6"/>
        <v>33</v>
      </c>
      <c r="B38" s="19" t="str">
        <f t="shared" si="3"/>
        <v>208-33</v>
      </c>
      <c r="C38" s="20" t="s">
        <v>285</v>
      </c>
      <c r="D38" s="21" t="s">
        <v>286</v>
      </c>
      <c r="E38" s="22" t="s">
        <v>287</v>
      </c>
      <c r="F38" s="25" t="s">
        <v>53</v>
      </c>
      <c r="G38" s="42" t="s">
        <v>54</v>
      </c>
      <c r="H38" s="25" t="s">
        <v>305</v>
      </c>
      <c r="I38" s="25" t="s">
        <v>56</v>
      </c>
      <c r="J38" s="25" t="s">
        <v>57</v>
      </c>
      <c r="K38" s="18">
        <v>801116</v>
      </c>
      <c r="L38" s="25" t="s">
        <v>58</v>
      </c>
      <c r="M38" s="25" t="s">
        <v>59</v>
      </c>
      <c r="N38" s="25" t="s">
        <v>60</v>
      </c>
      <c r="O38" s="25" t="s">
        <v>299</v>
      </c>
      <c r="P38" s="43" t="s">
        <v>335</v>
      </c>
      <c r="Q38" s="28">
        <f t="shared" si="4"/>
        <v>1699500</v>
      </c>
      <c r="R38" s="44">
        <v>1</v>
      </c>
      <c r="S38" s="30">
        <v>19544250</v>
      </c>
      <c r="T38" s="31" t="s">
        <v>318</v>
      </c>
      <c r="U38" s="46" t="s">
        <v>68</v>
      </c>
      <c r="V38" s="46" t="s">
        <v>308</v>
      </c>
      <c r="W38" s="53">
        <v>11.5</v>
      </c>
      <c r="X38" s="34">
        <v>82</v>
      </c>
      <c r="Y38" s="47">
        <v>43102</v>
      </c>
      <c r="Z38" s="54">
        <v>19544250</v>
      </c>
      <c r="AA38" s="37"/>
      <c r="AB38" s="37">
        <v>35</v>
      </c>
      <c r="AC38" s="50">
        <v>43103</v>
      </c>
      <c r="AD38" s="39">
        <v>19544250</v>
      </c>
      <c r="AE38" s="39">
        <f t="shared" si="5"/>
        <v>0</v>
      </c>
      <c r="AF38" s="34">
        <v>79</v>
      </c>
      <c r="AG38" s="51">
        <v>43116</v>
      </c>
      <c r="AH38" s="39">
        <v>19544250</v>
      </c>
      <c r="AI38" s="18" t="s">
        <v>338</v>
      </c>
      <c r="AJ38" s="18">
        <v>65</v>
      </c>
      <c r="AK38" s="39">
        <f t="shared" si="0"/>
        <v>0</v>
      </c>
      <c r="AL38" s="39">
        <v>4192100.0999999996</v>
      </c>
      <c r="AM38" s="39">
        <f t="shared" si="1"/>
        <v>15352149.9</v>
      </c>
      <c r="AN38" s="34"/>
      <c r="AO38" s="41">
        <f t="shared" si="2"/>
        <v>0</v>
      </c>
      <c r="AP38" s="34"/>
      <c r="AQ38" s="52">
        <v>43102</v>
      </c>
      <c r="AR38" s="24" t="s">
        <v>312</v>
      </c>
      <c r="AS38" s="52">
        <v>43102</v>
      </c>
      <c r="AT38" s="24" t="s">
        <v>313</v>
      </c>
    </row>
    <row r="39" spans="1:46" ht="102" x14ac:dyDescent="0.25">
      <c r="A39" s="18">
        <f t="shared" si="6"/>
        <v>34</v>
      </c>
      <c r="B39" s="19" t="str">
        <f t="shared" si="3"/>
        <v>208-34</v>
      </c>
      <c r="C39" s="20" t="s">
        <v>285</v>
      </c>
      <c r="D39" s="21" t="s">
        <v>286</v>
      </c>
      <c r="E39" s="42" t="s">
        <v>295</v>
      </c>
      <c r="F39" s="25" t="s">
        <v>53</v>
      </c>
      <c r="G39" s="42" t="s">
        <v>54</v>
      </c>
      <c r="H39" s="25" t="s">
        <v>305</v>
      </c>
      <c r="I39" s="25" t="s">
        <v>56</v>
      </c>
      <c r="J39" s="25" t="s">
        <v>57</v>
      </c>
      <c r="K39" s="18">
        <v>801116</v>
      </c>
      <c r="L39" s="25" t="s">
        <v>58</v>
      </c>
      <c r="M39" s="25" t="s">
        <v>59</v>
      </c>
      <c r="N39" s="25" t="s">
        <v>60</v>
      </c>
      <c r="O39" s="25" t="s">
        <v>299</v>
      </c>
      <c r="P39" s="43" t="s">
        <v>335</v>
      </c>
      <c r="Q39" s="28">
        <f t="shared" si="4"/>
        <v>3965499.9999999995</v>
      </c>
      <c r="R39" s="44">
        <v>1</v>
      </c>
      <c r="S39" s="30">
        <v>45603249.999999993</v>
      </c>
      <c r="T39" s="31" t="s">
        <v>318</v>
      </c>
      <c r="U39" s="46" t="s">
        <v>68</v>
      </c>
      <c r="V39" s="46" t="s">
        <v>308</v>
      </c>
      <c r="W39" s="53">
        <v>11.5</v>
      </c>
      <c r="X39" s="34">
        <v>81</v>
      </c>
      <c r="Y39" s="47">
        <v>43102</v>
      </c>
      <c r="Z39" s="54">
        <v>45603249.999999993</v>
      </c>
      <c r="AA39" s="37"/>
      <c r="AB39" s="37">
        <v>35</v>
      </c>
      <c r="AC39" s="50">
        <v>43103</v>
      </c>
      <c r="AD39" s="39">
        <v>45603249.999999993</v>
      </c>
      <c r="AE39" s="39">
        <f t="shared" si="5"/>
        <v>0</v>
      </c>
      <c r="AF39" s="34">
        <v>79</v>
      </c>
      <c r="AG39" s="51">
        <v>43116</v>
      </c>
      <c r="AH39" s="39">
        <v>45603249.999999993</v>
      </c>
      <c r="AI39" s="18" t="s">
        <v>338</v>
      </c>
      <c r="AJ39" s="18">
        <v>65</v>
      </c>
      <c r="AK39" s="39">
        <f t="shared" si="0"/>
        <v>0</v>
      </c>
      <c r="AL39" s="39">
        <v>9781566.8999999985</v>
      </c>
      <c r="AM39" s="39">
        <f t="shared" si="1"/>
        <v>35821683.099999994</v>
      </c>
      <c r="AN39" s="34"/>
      <c r="AO39" s="41">
        <f t="shared" si="2"/>
        <v>0</v>
      </c>
      <c r="AP39" s="34"/>
      <c r="AQ39" s="52">
        <v>43102</v>
      </c>
      <c r="AR39" s="24" t="s">
        <v>312</v>
      </c>
      <c r="AS39" s="52">
        <v>43102</v>
      </c>
      <c r="AT39" s="24" t="s">
        <v>313</v>
      </c>
    </row>
    <row r="40" spans="1:46" ht="114.75" x14ac:dyDescent="0.25">
      <c r="A40" s="18">
        <f t="shared" si="6"/>
        <v>35</v>
      </c>
      <c r="B40" s="19" t="str">
        <f t="shared" si="3"/>
        <v>208-35</v>
      </c>
      <c r="C40" s="20" t="s">
        <v>285</v>
      </c>
      <c r="D40" s="21" t="s">
        <v>286</v>
      </c>
      <c r="E40" s="22" t="s">
        <v>287</v>
      </c>
      <c r="F40" s="25" t="s">
        <v>53</v>
      </c>
      <c r="G40" s="42" t="s">
        <v>54</v>
      </c>
      <c r="H40" s="25" t="s">
        <v>305</v>
      </c>
      <c r="I40" s="25" t="s">
        <v>56</v>
      </c>
      <c r="J40" s="25" t="s">
        <v>57</v>
      </c>
      <c r="K40" s="18">
        <v>801116</v>
      </c>
      <c r="L40" s="25" t="s">
        <v>58</v>
      </c>
      <c r="M40" s="25" t="s">
        <v>59</v>
      </c>
      <c r="N40" s="25" t="s">
        <v>60</v>
      </c>
      <c r="O40" s="25" t="s">
        <v>299</v>
      </c>
      <c r="P40" s="43" t="s">
        <v>335</v>
      </c>
      <c r="Q40" s="28">
        <f t="shared" si="4"/>
        <v>1511010</v>
      </c>
      <c r="R40" s="44">
        <v>1</v>
      </c>
      <c r="S40" s="30">
        <v>17376615</v>
      </c>
      <c r="T40" s="31" t="s">
        <v>318</v>
      </c>
      <c r="U40" s="46" t="s">
        <v>68</v>
      </c>
      <c r="V40" s="46" t="s">
        <v>308</v>
      </c>
      <c r="W40" s="53">
        <v>11.5</v>
      </c>
      <c r="X40" s="34" t="s">
        <v>339</v>
      </c>
      <c r="Y40" s="47"/>
      <c r="Z40" s="54"/>
      <c r="AA40" s="37"/>
      <c r="AB40" s="37"/>
      <c r="AC40" s="38"/>
      <c r="AD40" s="39"/>
      <c r="AE40" s="39">
        <f t="shared" si="5"/>
        <v>17376615</v>
      </c>
      <c r="AF40" s="34"/>
      <c r="AG40" s="40"/>
      <c r="AH40" s="39"/>
      <c r="AI40" s="18"/>
      <c r="AJ40" s="18"/>
      <c r="AK40" s="39">
        <f t="shared" si="0"/>
        <v>0</v>
      </c>
      <c r="AL40" s="39"/>
      <c r="AM40" s="39">
        <f t="shared" si="1"/>
        <v>0</v>
      </c>
      <c r="AN40" s="34"/>
      <c r="AO40" s="41">
        <f t="shared" si="2"/>
        <v>17376615</v>
      </c>
      <c r="AP40" s="34"/>
      <c r="AQ40" s="52"/>
      <c r="AR40" s="24"/>
      <c r="AS40" s="52"/>
      <c r="AT40" s="24"/>
    </row>
    <row r="41" spans="1:46" ht="102" x14ac:dyDescent="0.25">
      <c r="A41" s="18">
        <f t="shared" si="6"/>
        <v>36</v>
      </c>
      <c r="B41" s="19" t="str">
        <f t="shared" si="3"/>
        <v>208-36</v>
      </c>
      <c r="C41" s="20" t="s">
        <v>285</v>
      </c>
      <c r="D41" s="21" t="s">
        <v>286</v>
      </c>
      <c r="E41" s="42" t="s">
        <v>295</v>
      </c>
      <c r="F41" s="25" t="s">
        <v>53</v>
      </c>
      <c r="G41" s="42" t="s">
        <v>54</v>
      </c>
      <c r="H41" s="25" t="s">
        <v>305</v>
      </c>
      <c r="I41" s="25" t="s">
        <v>56</v>
      </c>
      <c r="J41" s="25" t="s">
        <v>57</v>
      </c>
      <c r="K41" s="18">
        <v>801116</v>
      </c>
      <c r="L41" s="25" t="s">
        <v>58</v>
      </c>
      <c r="M41" s="25" t="s">
        <v>59</v>
      </c>
      <c r="N41" s="25" t="s">
        <v>60</v>
      </c>
      <c r="O41" s="25" t="s">
        <v>299</v>
      </c>
      <c r="P41" s="43" t="s">
        <v>335</v>
      </c>
      <c r="Q41" s="28">
        <f t="shared" si="4"/>
        <v>3525690</v>
      </c>
      <c r="R41" s="44">
        <v>1</v>
      </c>
      <c r="S41" s="30">
        <v>40545435</v>
      </c>
      <c r="T41" s="31" t="s">
        <v>318</v>
      </c>
      <c r="U41" s="46" t="s">
        <v>68</v>
      </c>
      <c r="V41" s="46" t="s">
        <v>308</v>
      </c>
      <c r="W41" s="53">
        <v>11.5</v>
      </c>
      <c r="X41" s="34" t="s">
        <v>340</v>
      </c>
      <c r="Y41" s="47"/>
      <c r="Z41" s="54"/>
      <c r="AA41" s="37"/>
      <c r="AB41" s="37"/>
      <c r="AC41" s="38"/>
      <c r="AD41" s="39"/>
      <c r="AE41" s="39">
        <f t="shared" si="5"/>
        <v>40545435</v>
      </c>
      <c r="AF41" s="34"/>
      <c r="AG41" s="40"/>
      <c r="AH41" s="39"/>
      <c r="AI41" s="18"/>
      <c r="AJ41" s="18"/>
      <c r="AK41" s="39">
        <f t="shared" si="0"/>
        <v>0</v>
      </c>
      <c r="AL41" s="39"/>
      <c r="AM41" s="39">
        <f t="shared" si="1"/>
        <v>0</v>
      </c>
      <c r="AN41" s="34"/>
      <c r="AO41" s="41">
        <f t="shared" si="2"/>
        <v>40545435</v>
      </c>
      <c r="AP41" s="34"/>
      <c r="AQ41" s="52"/>
      <c r="AR41" s="24"/>
      <c r="AS41" s="52"/>
      <c r="AT41" s="24"/>
    </row>
    <row r="42" spans="1:46" ht="114.75" x14ac:dyDescent="0.25">
      <c r="A42" s="18">
        <f t="shared" si="6"/>
        <v>37</v>
      </c>
      <c r="B42" s="19" t="str">
        <f t="shared" si="3"/>
        <v>208-37</v>
      </c>
      <c r="C42" s="20" t="s">
        <v>285</v>
      </c>
      <c r="D42" s="21" t="s">
        <v>286</v>
      </c>
      <c r="E42" s="22" t="s">
        <v>287</v>
      </c>
      <c r="F42" s="25" t="s">
        <v>53</v>
      </c>
      <c r="G42" s="42" t="s">
        <v>54</v>
      </c>
      <c r="H42" s="25" t="s">
        <v>305</v>
      </c>
      <c r="I42" s="25" t="s">
        <v>56</v>
      </c>
      <c r="J42" s="25" t="s">
        <v>57</v>
      </c>
      <c r="K42" s="18">
        <v>801116</v>
      </c>
      <c r="L42" s="25" t="s">
        <v>58</v>
      </c>
      <c r="M42" s="25" t="s">
        <v>59</v>
      </c>
      <c r="N42" s="25" t="s">
        <v>60</v>
      </c>
      <c r="O42" s="25" t="s">
        <v>299</v>
      </c>
      <c r="P42" s="43" t="s">
        <v>341</v>
      </c>
      <c r="Q42" s="28">
        <f t="shared" si="4"/>
        <v>1575900</v>
      </c>
      <c r="R42" s="44">
        <v>1</v>
      </c>
      <c r="S42" s="30">
        <v>18122850</v>
      </c>
      <c r="T42" s="31" t="s">
        <v>318</v>
      </c>
      <c r="U42" s="46" t="s">
        <v>68</v>
      </c>
      <c r="V42" s="46" t="s">
        <v>308</v>
      </c>
      <c r="W42" s="53">
        <v>11.5</v>
      </c>
      <c r="X42" s="34">
        <v>78</v>
      </c>
      <c r="Y42" s="47">
        <v>43102</v>
      </c>
      <c r="Z42" s="54">
        <v>18122850</v>
      </c>
      <c r="AA42" s="37"/>
      <c r="AB42" s="37">
        <v>24</v>
      </c>
      <c r="AC42" s="50">
        <v>43102</v>
      </c>
      <c r="AD42" s="39">
        <v>18122850</v>
      </c>
      <c r="AE42" s="39">
        <f t="shared" si="5"/>
        <v>0</v>
      </c>
      <c r="AF42" s="34">
        <v>13</v>
      </c>
      <c r="AG42" s="51">
        <v>43112</v>
      </c>
      <c r="AH42" s="39">
        <v>18122850</v>
      </c>
      <c r="AI42" s="18" t="s">
        <v>342</v>
      </c>
      <c r="AJ42" s="18">
        <v>12</v>
      </c>
      <c r="AK42" s="39">
        <f t="shared" si="0"/>
        <v>0</v>
      </c>
      <c r="AL42" s="39">
        <v>3939750</v>
      </c>
      <c r="AM42" s="39">
        <f t="shared" si="1"/>
        <v>14183100</v>
      </c>
      <c r="AN42" s="34"/>
      <c r="AO42" s="41">
        <f t="shared" si="2"/>
        <v>0</v>
      </c>
      <c r="AP42" s="34"/>
      <c r="AQ42" s="52">
        <v>43102</v>
      </c>
      <c r="AR42" s="24" t="s">
        <v>312</v>
      </c>
      <c r="AS42" s="52">
        <v>43102</v>
      </c>
      <c r="AT42" s="24" t="s">
        <v>313</v>
      </c>
    </row>
    <row r="43" spans="1:46" ht="102" x14ac:dyDescent="0.25">
      <c r="A43" s="18">
        <f t="shared" si="6"/>
        <v>38</v>
      </c>
      <c r="B43" s="19" t="str">
        <f t="shared" si="3"/>
        <v>208-38</v>
      </c>
      <c r="C43" s="20" t="s">
        <v>285</v>
      </c>
      <c r="D43" s="21" t="s">
        <v>286</v>
      </c>
      <c r="E43" s="42" t="s">
        <v>295</v>
      </c>
      <c r="F43" s="25" t="s">
        <v>53</v>
      </c>
      <c r="G43" s="42" t="s">
        <v>54</v>
      </c>
      <c r="H43" s="25" t="s">
        <v>305</v>
      </c>
      <c r="I43" s="25" t="s">
        <v>56</v>
      </c>
      <c r="J43" s="25" t="s">
        <v>57</v>
      </c>
      <c r="K43" s="18">
        <v>801116</v>
      </c>
      <c r="L43" s="25" t="s">
        <v>58</v>
      </c>
      <c r="M43" s="25" t="s">
        <v>59</v>
      </c>
      <c r="N43" s="25" t="s">
        <v>60</v>
      </c>
      <c r="O43" s="25" t="s">
        <v>299</v>
      </c>
      <c r="P43" s="43" t="s">
        <v>341</v>
      </c>
      <c r="Q43" s="28">
        <f t="shared" si="4"/>
        <v>3677099.9999999995</v>
      </c>
      <c r="R43" s="44">
        <v>1</v>
      </c>
      <c r="S43" s="30">
        <v>42286649.999999993</v>
      </c>
      <c r="T43" s="31" t="s">
        <v>318</v>
      </c>
      <c r="U43" s="46" t="s">
        <v>68</v>
      </c>
      <c r="V43" s="46" t="s">
        <v>308</v>
      </c>
      <c r="W43" s="53">
        <v>11.5</v>
      </c>
      <c r="X43" s="34">
        <v>77</v>
      </c>
      <c r="Y43" s="47">
        <v>43102</v>
      </c>
      <c r="Z43" s="54">
        <v>42286649.999999993</v>
      </c>
      <c r="AA43" s="37"/>
      <c r="AB43" s="37">
        <v>24</v>
      </c>
      <c r="AC43" s="50">
        <v>43102</v>
      </c>
      <c r="AD43" s="39">
        <v>42286649.999999993</v>
      </c>
      <c r="AE43" s="39">
        <f t="shared" si="5"/>
        <v>0</v>
      </c>
      <c r="AF43" s="34">
        <v>13</v>
      </c>
      <c r="AG43" s="51">
        <v>43112</v>
      </c>
      <c r="AH43" s="39">
        <v>42286649.999999993</v>
      </c>
      <c r="AI43" s="18" t="s">
        <v>342</v>
      </c>
      <c r="AJ43" s="18">
        <v>12</v>
      </c>
      <c r="AK43" s="39">
        <f t="shared" si="0"/>
        <v>0</v>
      </c>
      <c r="AL43" s="39">
        <v>9192750</v>
      </c>
      <c r="AM43" s="39">
        <f t="shared" si="1"/>
        <v>33093899.999999993</v>
      </c>
      <c r="AN43" s="34"/>
      <c r="AO43" s="41">
        <f t="shared" si="2"/>
        <v>0</v>
      </c>
      <c r="AP43" s="34"/>
      <c r="AQ43" s="52">
        <v>43102</v>
      </c>
      <c r="AR43" s="24" t="s">
        <v>312</v>
      </c>
      <c r="AS43" s="52">
        <v>43102</v>
      </c>
      <c r="AT43" s="24" t="s">
        <v>313</v>
      </c>
    </row>
    <row r="44" spans="1:46" ht="153" x14ac:dyDescent="0.25">
      <c r="A44" s="18">
        <f t="shared" si="6"/>
        <v>39</v>
      </c>
      <c r="B44" s="19" t="str">
        <f t="shared" si="3"/>
        <v>208-39</v>
      </c>
      <c r="C44" s="20" t="s">
        <v>285</v>
      </c>
      <c r="D44" s="21" t="s">
        <v>286</v>
      </c>
      <c r="E44" s="22" t="s">
        <v>287</v>
      </c>
      <c r="F44" s="25" t="s">
        <v>53</v>
      </c>
      <c r="G44" s="42" t="s">
        <v>54</v>
      </c>
      <c r="H44" s="25" t="s">
        <v>305</v>
      </c>
      <c r="I44" s="25" t="s">
        <v>56</v>
      </c>
      <c r="J44" s="25" t="s">
        <v>57</v>
      </c>
      <c r="K44" s="18">
        <v>801116</v>
      </c>
      <c r="L44" s="25" t="s">
        <v>58</v>
      </c>
      <c r="M44" s="25" t="s">
        <v>59</v>
      </c>
      <c r="N44" s="25" t="s">
        <v>60</v>
      </c>
      <c r="O44" s="25" t="s">
        <v>299</v>
      </c>
      <c r="P44" s="43" t="s">
        <v>343</v>
      </c>
      <c r="Q44" s="28">
        <f t="shared" si="4"/>
        <v>741600</v>
      </c>
      <c r="R44" s="44">
        <v>1</v>
      </c>
      <c r="S44" s="30">
        <v>8528400</v>
      </c>
      <c r="T44" s="31" t="s">
        <v>318</v>
      </c>
      <c r="U44" s="46" t="s">
        <v>68</v>
      </c>
      <c r="V44" s="46" t="s">
        <v>308</v>
      </c>
      <c r="W44" s="53">
        <v>11.5</v>
      </c>
      <c r="X44" s="34">
        <v>76</v>
      </c>
      <c r="Y44" s="47">
        <v>43102</v>
      </c>
      <c r="Z44" s="54">
        <v>8528400</v>
      </c>
      <c r="AA44" s="37"/>
      <c r="AB44" s="37">
        <v>23</v>
      </c>
      <c r="AC44" s="50">
        <v>43102</v>
      </c>
      <c r="AD44" s="39">
        <v>8528400</v>
      </c>
      <c r="AE44" s="39">
        <f t="shared" si="5"/>
        <v>0</v>
      </c>
      <c r="AF44" s="34">
        <v>163</v>
      </c>
      <c r="AG44" s="51">
        <v>43118</v>
      </c>
      <c r="AH44" s="39">
        <v>8528400</v>
      </c>
      <c r="AI44" s="18" t="s">
        <v>344</v>
      </c>
      <c r="AJ44" s="18">
        <v>132</v>
      </c>
      <c r="AK44" s="39">
        <f t="shared" si="0"/>
        <v>0</v>
      </c>
      <c r="AL44" s="39">
        <v>1804560</v>
      </c>
      <c r="AM44" s="39">
        <f t="shared" si="1"/>
        <v>6723840</v>
      </c>
      <c r="AN44" s="34"/>
      <c r="AO44" s="41">
        <f t="shared" si="2"/>
        <v>0</v>
      </c>
      <c r="AP44" s="34"/>
      <c r="AQ44" s="52">
        <v>43102</v>
      </c>
      <c r="AR44" s="24" t="s">
        <v>312</v>
      </c>
      <c r="AS44" s="52">
        <v>43102</v>
      </c>
      <c r="AT44" s="24" t="s">
        <v>313</v>
      </c>
    </row>
    <row r="45" spans="1:46" ht="153" x14ac:dyDescent="0.25">
      <c r="A45" s="18">
        <f t="shared" si="6"/>
        <v>40</v>
      </c>
      <c r="B45" s="19" t="str">
        <f t="shared" si="3"/>
        <v>208-40</v>
      </c>
      <c r="C45" s="20" t="s">
        <v>285</v>
      </c>
      <c r="D45" s="21" t="s">
        <v>286</v>
      </c>
      <c r="E45" s="42" t="s">
        <v>295</v>
      </c>
      <c r="F45" s="25" t="s">
        <v>53</v>
      </c>
      <c r="G45" s="42" t="s">
        <v>54</v>
      </c>
      <c r="H45" s="25" t="s">
        <v>305</v>
      </c>
      <c r="I45" s="25" t="s">
        <v>56</v>
      </c>
      <c r="J45" s="25" t="s">
        <v>57</v>
      </c>
      <c r="K45" s="18">
        <v>801116</v>
      </c>
      <c r="L45" s="25" t="s">
        <v>58</v>
      </c>
      <c r="M45" s="25" t="s">
        <v>59</v>
      </c>
      <c r="N45" s="25" t="s">
        <v>60</v>
      </c>
      <c r="O45" s="25" t="s">
        <v>299</v>
      </c>
      <c r="P45" s="43" t="s">
        <v>343</v>
      </c>
      <c r="Q45" s="28">
        <f t="shared" si="4"/>
        <v>1730400</v>
      </c>
      <c r="R45" s="44">
        <v>1</v>
      </c>
      <c r="S45" s="30">
        <v>19899600</v>
      </c>
      <c r="T45" s="31" t="s">
        <v>318</v>
      </c>
      <c r="U45" s="46" t="s">
        <v>68</v>
      </c>
      <c r="V45" s="46" t="s">
        <v>308</v>
      </c>
      <c r="W45" s="53">
        <v>11.5</v>
      </c>
      <c r="X45" s="34">
        <v>75</v>
      </c>
      <c r="Y45" s="47">
        <v>43102</v>
      </c>
      <c r="Z45" s="54">
        <v>19899600</v>
      </c>
      <c r="AA45" s="37"/>
      <c r="AB45" s="37">
        <v>23</v>
      </c>
      <c r="AC45" s="50">
        <v>43102</v>
      </c>
      <c r="AD45" s="39">
        <v>19899600</v>
      </c>
      <c r="AE45" s="39">
        <f t="shared" si="5"/>
        <v>0</v>
      </c>
      <c r="AF45" s="34">
        <v>163</v>
      </c>
      <c r="AG45" s="51">
        <v>43118</v>
      </c>
      <c r="AH45" s="39">
        <v>19899600</v>
      </c>
      <c r="AI45" s="18" t="s">
        <v>344</v>
      </c>
      <c r="AJ45" s="18">
        <v>132</v>
      </c>
      <c r="AK45" s="39">
        <f t="shared" si="0"/>
        <v>0</v>
      </c>
      <c r="AL45" s="39">
        <v>4210640</v>
      </c>
      <c r="AM45" s="39">
        <f t="shared" si="1"/>
        <v>15688960</v>
      </c>
      <c r="AN45" s="34"/>
      <c r="AO45" s="41">
        <f t="shared" si="2"/>
        <v>0</v>
      </c>
      <c r="AP45" s="34"/>
      <c r="AQ45" s="52">
        <v>43102</v>
      </c>
      <c r="AR45" s="24" t="s">
        <v>312</v>
      </c>
      <c r="AS45" s="52">
        <v>43102</v>
      </c>
      <c r="AT45" s="24" t="s">
        <v>313</v>
      </c>
    </row>
    <row r="46" spans="1:46" ht="114.75" x14ac:dyDescent="0.25">
      <c r="A46" s="18">
        <f t="shared" si="6"/>
        <v>41</v>
      </c>
      <c r="B46" s="19" t="str">
        <f t="shared" si="3"/>
        <v>208-41</v>
      </c>
      <c r="C46" s="20" t="s">
        <v>285</v>
      </c>
      <c r="D46" s="21" t="s">
        <v>286</v>
      </c>
      <c r="E46" s="22" t="s">
        <v>287</v>
      </c>
      <c r="F46" s="25" t="s">
        <v>53</v>
      </c>
      <c r="G46" s="42" t="s">
        <v>54</v>
      </c>
      <c r="H46" s="25" t="s">
        <v>305</v>
      </c>
      <c r="I46" s="25" t="s">
        <v>56</v>
      </c>
      <c r="J46" s="25" t="s">
        <v>57</v>
      </c>
      <c r="K46" s="18">
        <v>801116</v>
      </c>
      <c r="L46" s="25" t="s">
        <v>58</v>
      </c>
      <c r="M46" s="25" t="s">
        <v>59</v>
      </c>
      <c r="N46" s="25" t="s">
        <v>60</v>
      </c>
      <c r="O46" s="25" t="s">
        <v>299</v>
      </c>
      <c r="P46" s="43" t="s">
        <v>345</v>
      </c>
      <c r="Q46" s="28">
        <f t="shared" si="4"/>
        <v>463500</v>
      </c>
      <c r="R46" s="44">
        <v>1</v>
      </c>
      <c r="S46" s="30">
        <v>5330250</v>
      </c>
      <c r="T46" s="31" t="s">
        <v>318</v>
      </c>
      <c r="U46" s="46" t="s">
        <v>68</v>
      </c>
      <c r="V46" s="46" t="s">
        <v>308</v>
      </c>
      <c r="W46" s="53">
        <v>11.5</v>
      </c>
      <c r="X46" s="34">
        <v>74</v>
      </c>
      <c r="Y46" s="47">
        <v>43102</v>
      </c>
      <c r="Z46" s="54">
        <v>5330250</v>
      </c>
      <c r="AA46" s="37"/>
      <c r="AB46" s="37">
        <v>22</v>
      </c>
      <c r="AC46" s="50">
        <v>43102</v>
      </c>
      <c r="AD46" s="39">
        <v>5330250</v>
      </c>
      <c r="AE46" s="39">
        <f t="shared" si="5"/>
        <v>0</v>
      </c>
      <c r="AF46" s="34"/>
      <c r="AG46" s="40"/>
      <c r="AH46" s="39">
        <v>5330250</v>
      </c>
      <c r="AI46" s="18"/>
      <c r="AJ46" s="18"/>
      <c r="AK46" s="39">
        <f t="shared" si="0"/>
        <v>0</v>
      </c>
      <c r="AL46" s="39">
        <v>1127850</v>
      </c>
      <c r="AM46" s="39">
        <f t="shared" si="1"/>
        <v>4202400</v>
      </c>
      <c r="AN46" s="34"/>
      <c r="AO46" s="41">
        <f t="shared" si="2"/>
        <v>0</v>
      </c>
      <c r="AP46" s="34"/>
      <c r="AQ46" s="52">
        <v>43102</v>
      </c>
      <c r="AR46" s="24" t="s">
        <v>312</v>
      </c>
      <c r="AS46" s="52">
        <v>43102</v>
      </c>
      <c r="AT46" s="24" t="s">
        <v>313</v>
      </c>
    </row>
    <row r="47" spans="1:46" ht="102" x14ac:dyDescent="0.25">
      <c r="A47" s="18">
        <f t="shared" si="6"/>
        <v>42</v>
      </c>
      <c r="B47" s="19" t="str">
        <f t="shared" si="3"/>
        <v>208-42</v>
      </c>
      <c r="C47" s="20" t="s">
        <v>285</v>
      </c>
      <c r="D47" s="21" t="s">
        <v>286</v>
      </c>
      <c r="E47" s="42" t="s">
        <v>295</v>
      </c>
      <c r="F47" s="25" t="s">
        <v>53</v>
      </c>
      <c r="G47" s="42" t="s">
        <v>54</v>
      </c>
      <c r="H47" s="25" t="s">
        <v>305</v>
      </c>
      <c r="I47" s="25" t="s">
        <v>56</v>
      </c>
      <c r="J47" s="25" t="s">
        <v>57</v>
      </c>
      <c r="K47" s="18">
        <v>801116</v>
      </c>
      <c r="L47" s="25" t="s">
        <v>58</v>
      </c>
      <c r="M47" s="25" t="s">
        <v>59</v>
      </c>
      <c r="N47" s="25" t="s">
        <v>60</v>
      </c>
      <c r="O47" s="25" t="s">
        <v>299</v>
      </c>
      <c r="P47" s="43" t="s">
        <v>345</v>
      </c>
      <c r="Q47" s="28">
        <f t="shared" si="4"/>
        <v>1081500</v>
      </c>
      <c r="R47" s="44">
        <v>1</v>
      </c>
      <c r="S47" s="30">
        <v>12437250</v>
      </c>
      <c r="T47" s="31" t="s">
        <v>318</v>
      </c>
      <c r="U47" s="46" t="s">
        <v>68</v>
      </c>
      <c r="V47" s="46" t="s">
        <v>308</v>
      </c>
      <c r="W47" s="53">
        <v>11.5</v>
      </c>
      <c r="X47" s="34">
        <v>73</v>
      </c>
      <c r="Y47" s="47">
        <v>43102</v>
      </c>
      <c r="Z47" s="54">
        <v>12437250</v>
      </c>
      <c r="AA47" s="37"/>
      <c r="AB47" s="37">
        <v>22</v>
      </c>
      <c r="AC47" s="50">
        <v>43102</v>
      </c>
      <c r="AD47" s="39">
        <v>12437250</v>
      </c>
      <c r="AE47" s="39">
        <f t="shared" si="5"/>
        <v>0</v>
      </c>
      <c r="AF47" s="34"/>
      <c r="AG47" s="40"/>
      <c r="AH47" s="39">
        <v>12437250</v>
      </c>
      <c r="AI47" s="18"/>
      <c r="AJ47" s="18"/>
      <c r="AK47" s="39">
        <f t="shared" si="0"/>
        <v>0</v>
      </c>
      <c r="AL47" s="39">
        <v>2631650</v>
      </c>
      <c r="AM47" s="39">
        <f t="shared" si="1"/>
        <v>9805600</v>
      </c>
      <c r="AN47" s="34"/>
      <c r="AO47" s="41">
        <f t="shared" si="2"/>
        <v>0</v>
      </c>
      <c r="AP47" s="34"/>
      <c r="AQ47" s="52">
        <v>43102</v>
      </c>
      <c r="AR47" s="24" t="s">
        <v>312</v>
      </c>
      <c r="AS47" s="52">
        <v>43102</v>
      </c>
      <c r="AT47" s="24" t="s">
        <v>313</v>
      </c>
    </row>
    <row r="48" spans="1:46" ht="114.75" x14ac:dyDescent="0.25">
      <c r="A48" s="18">
        <f t="shared" si="6"/>
        <v>43</v>
      </c>
      <c r="B48" s="19" t="str">
        <f t="shared" si="3"/>
        <v>208-43</v>
      </c>
      <c r="C48" s="20" t="s">
        <v>285</v>
      </c>
      <c r="D48" s="21" t="s">
        <v>286</v>
      </c>
      <c r="E48" s="22" t="s">
        <v>287</v>
      </c>
      <c r="F48" s="25" t="s">
        <v>53</v>
      </c>
      <c r="G48" s="42" t="s">
        <v>54</v>
      </c>
      <c r="H48" s="25" t="s">
        <v>305</v>
      </c>
      <c r="I48" s="25" t="s">
        <v>56</v>
      </c>
      <c r="J48" s="25" t="s">
        <v>57</v>
      </c>
      <c r="K48" s="18">
        <v>801116</v>
      </c>
      <c r="L48" s="25" t="s">
        <v>58</v>
      </c>
      <c r="M48" s="25" t="s">
        <v>59</v>
      </c>
      <c r="N48" s="25" t="s">
        <v>60</v>
      </c>
      <c r="O48" s="25" t="s">
        <v>299</v>
      </c>
      <c r="P48" s="43" t="s">
        <v>345</v>
      </c>
      <c r="Q48" s="28">
        <f t="shared" si="4"/>
        <v>463500</v>
      </c>
      <c r="R48" s="44">
        <v>1</v>
      </c>
      <c r="S48" s="30">
        <v>5330250</v>
      </c>
      <c r="T48" s="31" t="s">
        <v>318</v>
      </c>
      <c r="U48" s="46" t="s">
        <v>68</v>
      </c>
      <c r="V48" s="46" t="s">
        <v>308</v>
      </c>
      <c r="W48" s="53">
        <v>11.5</v>
      </c>
      <c r="X48" s="34">
        <v>72</v>
      </c>
      <c r="Y48" s="47">
        <v>43102</v>
      </c>
      <c r="Z48" s="54">
        <v>5330250</v>
      </c>
      <c r="AA48" s="37"/>
      <c r="AB48" s="37">
        <v>20</v>
      </c>
      <c r="AC48" s="50">
        <v>43102</v>
      </c>
      <c r="AD48" s="39">
        <v>5330250</v>
      </c>
      <c r="AE48" s="39">
        <f t="shared" si="5"/>
        <v>0</v>
      </c>
      <c r="AF48" s="34">
        <v>168</v>
      </c>
      <c r="AG48" s="51">
        <v>43118</v>
      </c>
      <c r="AH48" s="39">
        <v>5330250</v>
      </c>
      <c r="AI48" s="18" t="s">
        <v>346</v>
      </c>
      <c r="AJ48" s="18">
        <v>129</v>
      </c>
      <c r="AK48" s="39">
        <f t="shared" si="0"/>
        <v>0</v>
      </c>
      <c r="AL48" s="39">
        <v>1127850</v>
      </c>
      <c r="AM48" s="39">
        <f t="shared" si="1"/>
        <v>4202400</v>
      </c>
      <c r="AN48" s="34"/>
      <c r="AO48" s="41">
        <f t="shared" si="2"/>
        <v>0</v>
      </c>
      <c r="AP48" s="34"/>
      <c r="AQ48" s="52">
        <v>43102</v>
      </c>
      <c r="AR48" s="24" t="s">
        <v>312</v>
      </c>
      <c r="AS48" s="52">
        <v>43102</v>
      </c>
      <c r="AT48" s="24" t="s">
        <v>313</v>
      </c>
    </row>
    <row r="49" spans="1:46" ht="102" x14ac:dyDescent="0.25">
      <c r="A49" s="18">
        <f t="shared" si="6"/>
        <v>44</v>
      </c>
      <c r="B49" s="19" t="str">
        <f t="shared" si="3"/>
        <v>208-44</v>
      </c>
      <c r="C49" s="20" t="s">
        <v>285</v>
      </c>
      <c r="D49" s="21" t="s">
        <v>286</v>
      </c>
      <c r="E49" s="42" t="s">
        <v>295</v>
      </c>
      <c r="F49" s="25" t="s">
        <v>53</v>
      </c>
      <c r="G49" s="42" t="s">
        <v>54</v>
      </c>
      <c r="H49" s="25" t="s">
        <v>305</v>
      </c>
      <c r="I49" s="25" t="s">
        <v>56</v>
      </c>
      <c r="J49" s="25" t="s">
        <v>57</v>
      </c>
      <c r="K49" s="18">
        <v>801116</v>
      </c>
      <c r="L49" s="25" t="s">
        <v>58</v>
      </c>
      <c r="M49" s="25" t="s">
        <v>59</v>
      </c>
      <c r="N49" s="25" t="s">
        <v>60</v>
      </c>
      <c r="O49" s="25" t="s">
        <v>299</v>
      </c>
      <c r="P49" s="43" t="s">
        <v>345</v>
      </c>
      <c r="Q49" s="28">
        <f t="shared" si="4"/>
        <v>1081500</v>
      </c>
      <c r="R49" s="44">
        <v>1</v>
      </c>
      <c r="S49" s="30">
        <v>12437250</v>
      </c>
      <c r="T49" s="31" t="s">
        <v>318</v>
      </c>
      <c r="U49" s="46" t="s">
        <v>68</v>
      </c>
      <c r="V49" s="46" t="s">
        <v>308</v>
      </c>
      <c r="W49" s="53">
        <v>11.5</v>
      </c>
      <c r="X49" s="34">
        <v>71</v>
      </c>
      <c r="Y49" s="47">
        <v>43102</v>
      </c>
      <c r="Z49" s="54">
        <v>12437250</v>
      </c>
      <c r="AA49" s="37"/>
      <c r="AB49" s="37">
        <v>20</v>
      </c>
      <c r="AC49" s="50">
        <v>43102</v>
      </c>
      <c r="AD49" s="39">
        <v>12437250</v>
      </c>
      <c r="AE49" s="39">
        <f t="shared" si="5"/>
        <v>0</v>
      </c>
      <c r="AF49" s="34">
        <v>168</v>
      </c>
      <c r="AG49" s="51">
        <v>43118</v>
      </c>
      <c r="AH49" s="39">
        <v>12437250</v>
      </c>
      <c r="AI49" s="18" t="s">
        <v>346</v>
      </c>
      <c r="AJ49" s="18">
        <v>129</v>
      </c>
      <c r="AK49" s="39">
        <f t="shared" si="0"/>
        <v>0</v>
      </c>
      <c r="AL49" s="39">
        <v>2631650</v>
      </c>
      <c r="AM49" s="39">
        <f t="shared" si="1"/>
        <v>9805600</v>
      </c>
      <c r="AN49" s="34"/>
      <c r="AO49" s="41">
        <f t="shared" si="2"/>
        <v>0</v>
      </c>
      <c r="AP49" s="34"/>
      <c r="AQ49" s="52">
        <v>43102</v>
      </c>
      <c r="AR49" s="24" t="s">
        <v>312</v>
      </c>
      <c r="AS49" s="52">
        <v>43102</v>
      </c>
      <c r="AT49" s="24" t="s">
        <v>313</v>
      </c>
    </row>
    <row r="50" spans="1:46" ht="114.75" x14ac:dyDescent="0.25">
      <c r="A50" s="18">
        <f t="shared" si="6"/>
        <v>45</v>
      </c>
      <c r="B50" s="19" t="str">
        <f t="shared" si="3"/>
        <v>208-45</v>
      </c>
      <c r="C50" s="20" t="s">
        <v>285</v>
      </c>
      <c r="D50" s="21" t="s">
        <v>286</v>
      </c>
      <c r="E50" s="22" t="s">
        <v>287</v>
      </c>
      <c r="F50" s="25" t="s">
        <v>53</v>
      </c>
      <c r="G50" s="42" t="s">
        <v>54</v>
      </c>
      <c r="H50" s="25" t="s">
        <v>305</v>
      </c>
      <c r="I50" s="25" t="s">
        <v>56</v>
      </c>
      <c r="J50" s="25" t="s">
        <v>57</v>
      </c>
      <c r="K50" s="18">
        <v>801116</v>
      </c>
      <c r="L50" s="25" t="s">
        <v>58</v>
      </c>
      <c r="M50" s="25" t="s">
        <v>59</v>
      </c>
      <c r="N50" s="25" t="s">
        <v>60</v>
      </c>
      <c r="O50" s="25" t="s">
        <v>299</v>
      </c>
      <c r="P50" s="43" t="s">
        <v>345</v>
      </c>
      <c r="Q50" s="28">
        <f t="shared" si="4"/>
        <v>463500</v>
      </c>
      <c r="R50" s="44">
        <v>1</v>
      </c>
      <c r="S50" s="30">
        <v>5330250</v>
      </c>
      <c r="T50" s="31" t="s">
        <v>318</v>
      </c>
      <c r="U50" s="46" t="s">
        <v>68</v>
      </c>
      <c r="V50" s="46" t="s">
        <v>308</v>
      </c>
      <c r="W50" s="53">
        <v>11.5</v>
      </c>
      <c r="X50" s="34">
        <v>70</v>
      </c>
      <c r="Y50" s="47">
        <v>43102</v>
      </c>
      <c r="Z50" s="54">
        <v>5330250</v>
      </c>
      <c r="AA50" s="37"/>
      <c r="AB50" s="37">
        <v>19</v>
      </c>
      <c r="AC50" s="50">
        <v>43102</v>
      </c>
      <c r="AD50" s="39">
        <v>5330250</v>
      </c>
      <c r="AE50" s="39">
        <f t="shared" si="5"/>
        <v>0</v>
      </c>
      <c r="AF50" s="34">
        <v>167</v>
      </c>
      <c r="AG50" s="51">
        <v>43118</v>
      </c>
      <c r="AH50" s="39">
        <v>5330250</v>
      </c>
      <c r="AI50" s="18" t="s">
        <v>347</v>
      </c>
      <c r="AJ50" s="18">
        <v>130</v>
      </c>
      <c r="AK50" s="39">
        <f t="shared" si="0"/>
        <v>0</v>
      </c>
      <c r="AL50" s="39">
        <v>1127850</v>
      </c>
      <c r="AM50" s="39">
        <f t="shared" si="1"/>
        <v>4202400</v>
      </c>
      <c r="AN50" s="34"/>
      <c r="AO50" s="41">
        <f t="shared" si="2"/>
        <v>0</v>
      </c>
      <c r="AP50" s="34"/>
      <c r="AQ50" s="52">
        <v>43102</v>
      </c>
      <c r="AR50" s="24" t="s">
        <v>312</v>
      </c>
      <c r="AS50" s="52">
        <v>43102</v>
      </c>
      <c r="AT50" s="24" t="s">
        <v>313</v>
      </c>
    </row>
    <row r="51" spans="1:46" ht="102" x14ac:dyDescent="0.25">
      <c r="A51" s="18">
        <f t="shared" si="6"/>
        <v>46</v>
      </c>
      <c r="B51" s="19" t="str">
        <f t="shared" si="3"/>
        <v>208-46</v>
      </c>
      <c r="C51" s="20" t="s">
        <v>285</v>
      </c>
      <c r="D51" s="21" t="s">
        <v>286</v>
      </c>
      <c r="E51" s="42" t="s">
        <v>295</v>
      </c>
      <c r="F51" s="25" t="s">
        <v>53</v>
      </c>
      <c r="G51" s="42" t="s">
        <v>54</v>
      </c>
      <c r="H51" s="25" t="s">
        <v>305</v>
      </c>
      <c r="I51" s="25" t="s">
        <v>56</v>
      </c>
      <c r="J51" s="25" t="s">
        <v>57</v>
      </c>
      <c r="K51" s="18">
        <v>801116</v>
      </c>
      <c r="L51" s="25" t="s">
        <v>58</v>
      </c>
      <c r="M51" s="25" t="s">
        <v>59</v>
      </c>
      <c r="N51" s="25" t="s">
        <v>60</v>
      </c>
      <c r="O51" s="25" t="s">
        <v>299</v>
      </c>
      <c r="P51" s="43" t="s">
        <v>345</v>
      </c>
      <c r="Q51" s="28">
        <f t="shared" si="4"/>
        <v>1081500</v>
      </c>
      <c r="R51" s="44">
        <v>1</v>
      </c>
      <c r="S51" s="30">
        <v>12437250</v>
      </c>
      <c r="T51" s="31" t="s">
        <v>318</v>
      </c>
      <c r="U51" s="46" t="s">
        <v>68</v>
      </c>
      <c r="V51" s="46" t="s">
        <v>308</v>
      </c>
      <c r="W51" s="53">
        <v>11.5</v>
      </c>
      <c r="X51" s="34">
        <v>69</v>
      </c>
      <c r="Y51" s="47">
        <v>43102</v>
      </c>
      <c r="Z51" s="54">
        <v>12437250</v>
      </c>
      <c r="AA51" s="37"/>
      <c r="AB51" s="37">
        <v>19</v>
      </c>
      <c r="AC51" s="50">
        <v>43102</v>
      </c>
      <c r="AD51" s="39">
        <v>12437250</v>
      </c>
      <c r="AE51" s="39">
        <f t="shared" si="5"/>
        <v>0</v>
      </c>
      <c r="AF51" s="34">
        <v>167</v>
      </c>
      <c r="AG51" s="51">
        <v>43118</v>
      </c>
      <c r="AH51" s="39">
        <v>12437250</v>
      </c>
      <c r="AI51" s="18" t="s">
        <v>347</v>
      </c>
      <c r="AJ51" s="18">
        <v>130</v>
      </c>
      <c r="AK51" s="39">
        <f t="shared" si="0"/>
        <v>0</v>
      </c>
      <c r="AL51" s="39">
        <v>2631650</v>
      </c>
      <c r="AM51" s="39">
        <f t="shared" si="1"/>
        <v>9805600</v>
      </c>
      <c r="AN51" s="34"/>
      <c r="AO51" s="41">
        <f t="shared" si="2"/>
        <v>0</v>
      </c>
      <c r="AP51" s="34"/>
      <c r="AQ51" s="52">
        <v>43102</v>
      </c>
      <c r="AR51" s="24" t="s">
        <v>312</v>
      </c>
      <c r="AS51" s="52">
        <v>43102</v>
      </c>
      <c r="AT51" s="24" t="s">
        <v>313</v>
      </c>
    </row>
    <row r="52" spans="1:46" ht="114.75" x14ac:dyDescent="0.25">
      <c r="A52" s="18">
        <f t="shared" si="6"/>
        <v>47</v>
      </c>
      <c r="B52" s="19" t="str">
        <f t="shared" si="3"/>
        <v>208-47</v>
      </c>
      <c r="C52" s="20" t="s">
        <v>285</v>
      </c>
      <c r="D52" s="21" t="s">
        <v>286</v>
      </c>
      <c r="E52" s="22" t="s">
        <v>287</v>
      </c>
      <c r="F52" s="25" t="s">
        <v>53</v>
      </c>
      <c r="G52" s="42" t="s">
        <v>54</v>
      </c>
      <c r="H52" s="25" t="s">
        <v>305</v>
      </c>
      <c r="I52" s="25" t="s">
        <v>56</v>
      </c>
      <c r="J52" s="25" t="s">
        <v>57</v>
      </c>
      <c r="K52" s="18">
        <v>801116</v>
      </c>
      <c r="L52" s="25" t="s">
        <v>58</v>
      </c>
      <c r="M52" s="25" t="s">
        <v>59</v>
      </c>
      <c r="N52" s="25" t="s">
        <v>60</v>
      </c>
      <c r="O52" s="25" t="s">
        <v>299</v>
      </c>
      <c r="P52" s="43" t="s">
        <v>345</v>
      </c>
      <c r="Q52" s="28">
        <f t="shared" si="4"/>
        <v>463500</v>
      </c>
      <c r="R52" s="44">
        <v>1</v>
      </c>
      <c r="S52" s="30">
        <v>5330250</v>
      </c>
      <c r="T52" s="31" t="s">
        <v>318</v>
      </c>
      <c r="U52" s="46" t="s">
        <v>68</v>
      </c>
      <c r="V52" s="46" t="s">
        <v>308</v>
      </c>
      <c r="W52" s="53">
        <v>11.5</v>
      </c>
      <c r="X52" s="34">
        <v>68</v>
      </c>
      <c r="Y52" s="47">
        <v>43102</v>
      </c>
      <c r="Z52" s="54">
        <v>5330250</v>
      </c>
      <c r="AA52" s="37"/>
      <c r="AB52" s="37">
        <v>17</v>
      </c>
      <c r="AC52" s="50">
        <v>43102</v>
      </c>
      <c r="AD52" s="39">
        <v>5330250</v>
      </c>
      <c r="AE52" s="39">
        <f t="shared" si="5"/>
        <v>0</v>
      </c>
      <c r="AF52" s="34">
        <v>451</v>
      </c>
      <c r="AG52" s="51">
        <v>43125</v>
      </c>
      <c r="AH52" s="39">
        <v>5330250</v>
      </c>
      <c r="AI52" s="18" t="s">
        <v>348</v>
      </c>
      <c r="AJ52" s="18">
        <v>381</v>
      </c>
      <c r="AK52" s="39">
        <f t="shared" si="0"/>
        <v>0</v>
      </c>
      <c r="AL52" s="39">
        <v>1004250</v>
      </c>
      <c r="AM52" s="39">
        <f t="shared" si="1"/>
        <v>4326000</v>
      </c>
      <c r="AN52" s="34"/>
      <c r="AO52" s="41">
        <f t="shared" si="2"/>
        <v>0</v>
      </c>
      <c r="AP52" s="34"/>
      <c r="AQ52" s="52">
        <v>43102</v>
      </c>
      <c r="AR52" s="24" t="s">
        <v>312</v>
      </c>
      <c r="AS52" s="52">
        <v>43102</v>
      </c>
      <c r="AT52" s="24" t="s">
        <v>313</v>
      </c>
    </row>
    <row r="53" spans="1:46" ht="102" x14ac:dyDescent="0.25">
      <c r="A53" s="18">
        <f t="shared" si="6"/>
        <v>48</v>
      </c>
      <c r="B53" s="19" t="str">
        <f t="shared" si="3"/>
        <v>208-48</v>
      </c>
      <c r="C53" s="20" t="s">
        <v>285</v>
      </c>
      <c r="D53" s="21" t="s">
        <v>286</v>
      </c>
      <c r="E53" s="42" t="s">
        <v>295</v>
      </c>
      <c r="F53" s="25" t="s">
        <v>53</v>
      </c>
      <c r="G53" s="42" t="s">
        <v>54</v>
      </c>
      <c r="H53" s="25" t="s">
        <v>305</v>
      </c>
      <c r="I53" s="25" t="s">
        <v>56</v>
      </c>
      <c r="J53" s="25" t="s">
        <v>57</v>
      </c>
      <c r="K53" s="18">
        <v>801116</v>
      </c>
      <c r="L53" s="25" t="s">
        <v>58</v>
      </c>
      <c r="M53" s="25" t="s">
        <v>59</v>
      </c>
      <c r="N53" s="25" t="s">
        <v>60</v>
      </c>
      <c r="O53" s="25" t="s">
        <v>299</v>
      </c>
      <c r="P53" s="43" t="s">
        <v>345</v>
      </c>
      <c r="Q53" s="28">
        <f t="shared" si="4"/>
        <v>1081500</v>
      </c>
      <c r="R53" s="44">
        <v>1</v>
      </c>
      <c r="S53" s="30">
        <v>12437250</v>
      </c>
      <c r="T53" s="31" t="s">
        <v>318</v>
      </c>
      <c r="U53" s="46" t="s">
        <v>68</v>
      </c>
      <c r="V53" s="46" t="s">
        <v>308</v>
      </c>
      <c r="W53" s="53">
        <v>11.5</v>
      </c>
      <c r="X53" s="34">
        <v>67</v>
      </c>
      <c r="Y53" s="47">
        <v>43102</v>
      </c>
      <c r="Z53" s="54">
        <v>12437250</v>
      </c>
      <c r="AA53" s="37"/>
      <c r="AB53" s="37">
        <v>17</v>
      </c>
      <c r="AC53" s="50">
        <v>43102</v>
      </c>
      <c r="AD53" s="39">
        <v>12437250</v>
      </c>
      <c r="AE53" s="39">
        <f t="shared" si="5"/>
        <v>0</v>
      </c>
      <c r="AF53" s="34">
        <v>451</v>
      </c>
      <c r="AG53" s="51">
        <v>43125</v>
      </c>
      <c r="AH53" s="39">
        <v>12437250</v>
      </c>
      <c r="AI53" s="18" t="s">
        <v>348</v>
      </c>
      <c r="AJ53" s="18">
        <v>381</v>
      </c>
      <c r="AK53" s="39">
        <f t="shared" si="0"/>
        <v>0</v>
      </c>
      <c r="AL53" s="39">
        <v>2343250</v>
      </c>
      <c r="AM53" s="39">
        <f t="shared" si="1"/>
        <v>10094000</v>
      </c>
      <c r="AN53" s="34"/>
      <c r="AO53" s="41">
        <f t="shared" si="2"/>
        <v>0</v>
      </c>
      <c r="AP53" s="34"/>
      <c r="AQ53" s="52">
        <v>43102</v>
      </c>
      <c r="AR53" s="24" t="s">
        <v>312</v>
      </c>
      <c r="AS53" s="52">
        <v>43102</v>
      </c>
      <c r="AT53" s="24" t="s">
        <v>313</v>
      </c>
    </row>
    <row r="54" spans="1:46" ht="114.75" x14ac:dyDescent="0.25">
      <c r="A54" s="18">
        <f t="shared" si="6"/>
        <v>49</v>
      </c>
      <c r="B54" s="19" t="str">
        <f t="shared" si="3"/>
        <v>208-49</v>
      </c>
      <c r="C54" s="20" t="s">
        <v>285</v>
      </c>
      <c r="D54" s="21" t="s">
        <v>286</v>
      </c>
      <c r="E54" s="22" t="s">
        <v>287</v>
      </c>
      <c r="F54" s="25" t="s">
        <v>53</v>
      </c>
      <c r="G54" s="42" t="s">
        <v>54</v>
      </c>
      <c r="H54" s="25" t="s">
        <v>305</v>
      </c>
      <c r="I54" s="25" t="s">
        <v>56</v>
      </c>
      <c r="J54" s="25" t="s">
        <v>57</v>
      </c>
      <c r="K54" s="18">
        <v>801116</v>
      </c>
      <c r="L54" s="25" t="s">
        <v>58</v>
      </c>
      <c r="M54" s="25" t="s">
        <v>59</v>
      </c>
      <c r="N54" s="25" t="s">
        <v>60</v>
      </c>
      <c r="O54" s="25" t="s">
        <v>299</v>
      </c>
      <c r="P54" s="43" t="s">
        <v>345</v>
      </c>
      <c r="Q54" s="28">
        <f t="shared" si="4"/>
        <v>463500</v>
      </c>
      <c r="R54" s="44">
        <v>1</v>
      </c>
      <c r="S54" s="30">
        <v>5330250</v>
      </c>
      <c r="T54" s="31" t="s">
        <v>318</v>
      </c>
      <c r="U54" s="46" t="s">
        <v>68</v>
      </c>
      <c r="V54" s="46" t="s">
        <v>308</v>
      </c>
      <c r="W54" s="53">
        <v>11.5</v>
      </c>
      <c r="X54" s="34">
        <v>66</v>
      </c>
      <c r="Y54" s="47">
        <v>43102</v>
      </c>
      <c r="Z54" s="54">
        <v>5330250</v>
      </c>
      <c r="AA54" s="37"/>
      <c r="AB54" s="37">
        <v>15</v>
      </c>
      <c r="AC54" s="50">
        <v>43102</v>
      </c>
      <c r="AD54" s="39">
        <v>5330250</v>
      </c>
      <c r="AE54" s="39">
        <f t="shared" si="5"/>
        <v>0</v>
      </c>
      <c r="AF54" s="34">
        <v>502</v>
      </c>
      <c r="AG54" s="18" t="s">
        <v>349</v>
      </c>
      <c r="AH54" s="39">
        <v>5330250</v>
      </c>
      <c r="AI54" s="18" t="s">
        <v>350</v>
      </c>
      <c r="AJ54" s="18">
        <v>413</v>
      </c>
      <c r="AK54" s="39">
        <f t="shared" si="0"/>
        <v>0</v>
      </c>
      <c r="AL54" s="39">
        <v>957900</v>
      </c>
      <c r="AM54" s="39">
        <f t="shared" si="1"/>
        <v>4372350</v>
      </c>
      <c r="AN54" s="34"/>
      <c r="AO54" s="41">
        <f t="shared" si="2"/>
        <v>0</v>
      </c>
      <c r="AP54" s="34"/>
      <c r="AQ54" s="52">
        <v>43102</v>
      </c>
      <c r="AR54" s="24" t="s">
        <v>312</v>
      </c>
      <c r="AS54" s="52">
        <v>43102</v>
      </c>
      <c r="AT54" s="24" t="s">
        <v>313</v>
      </c>
    </row>
    <row r="55" spans="1:46" ht="102" x14ac:dyDescent="0.25">
      <c r="A55" s="18">
        <f t="shared" si="6"/>
        <v>50</v>
      </c>
      <c r="B55" s="19" t="str">
        <f t="shared" si="3"/>
        <v>208-50</v>
      </c>
      <c r="C55" s="20" t="s">
        <v>285</v>
      </c>
      <c r="D55" s="21" t="s">
        <v>286</v>
      </c>
      <c r="E55" s="42" t="s">
        <v>295</v>
      </c>
      <c r="F55" s="25" t="s">
        <v>53</v>
      </c>
      <c r="G55" s="42" t="s">
        <v>54</v>
      </c>
      <c r="H55" s="25" t="s">
        <v>305</v>
      </c>
      <c r="I55" s="25" t="s">
        <v>56</v>
      </c>
      <c r="J55" s="25" t="s">
        <v>57</v>
      </c>
      <c r="K55" s="18">
        <v>801116</v>
      </c>
      <c r="L55" s="25" t="s">
        <v>58</v>
      </c>
      <c r="M55" s="25" t="s">
        <v>59</v>
      </c>
      <c r="N55" s="25" t="s">
        <v>60</v>
      </c>
      <c r="O55" s="25" t="s">
        <v>299</v>
      </c>
      <c r="P55" s="43" t="s">
        <v>345</v>
      </c>
      <c r="Q55" s="28">
        <f t="shared" si="4"/>
        <v>1081500</v>
      </c>
      <c r="R55" s="44">
        <v>1</v>
      </c>
      <c r="S55" s="30">
        <v>12437250</v>
      </c>
      <c r="T55" s="31" t="s">
        <v>318</v>
      </c>
      <c r="U55" s="46" t="s">
        <v>68</v>
      </c>
      <c r="V55" s="46" t="s">
        <v>308</v>
      </c>
      <c r="W55" s="53">
        <v>11.5</v>
      </c>
      <c r="X55" s="34">
        <v>65</v>
      </c>
      <c r="Y55" s="47">
        <v>43102</v>
      </c>
      <c r="Z55" s="54">
        <v>12437250</v>
      </c>
      <c r="AA55" s="37"/>
      <c r="AB55" s="37">
        <v>15</v>
      </c>
      <c r="AC55" s="50">
        <v>43102</v>
      </c>
      <c r="AD55" s="39">
        <v>12437250</v>
      </c>
      <c r="AE55" s="39">
        <f t="shared" si="5"/>
        <v>0</v>
      </c>
      <c r="AF55" s="34">
        <v>502</v>
      </c>
      <c r="AG55" s="18" t="s">
        <v>349</v>
      </c>
      <c r="AH55" s="39">
        <v>12437250</v>
      </c>
      <c r="AI55" s="18" t="s">
        <v>350</v>
      </c>
      <c r="AJ55" s="18">
        <v>413</v>
      </c>
      <c r="AK55" s="39">
        <f t="shared" si="0"/>
        <v>0</v>
      </c>
      <c r="AL55" s="39">
        <v>2235100</v>
      </c>
      <c r="AM55" s="39">
        <f t="shared" si="1"/>
        <v>10202150</v>
      </c>
      <c r="AN55" s="34"/>
      <c r="AO55" s="41">
        <f t="shared" si="2"/>
        <v>0</v>
      </c>
      <c r="AP55" s="34"/>
      <c r="AQ55" s="52">
        <v>43102</v>
      </c>
      <c r="AR55" s="24" t="s">
        <v>312</v>
      </c>
      <c r="AS55" s="52">
        <v>43102</v>
      </c>
      <c r="AT55" s="24" t="s">
        <v>313</v>
      </c>
    </row>
    <row r="56" spans="1:46" ht="114.75" x14ac:dyDescent="0.25">
      <c r="A56" s="18">
        <f t="shared" si="6"/>
        <v>51</v>
      </c>
      <c r="B56" s="19" t="str">
        <f t="shared" si="3"/>
        <v>208-51</v>
      </c>
      <c r="C56" s="20" t="s">
        <v>285</v>
      </c>
      <c r="D56" s="21" t="s">
        <v>286</v>
      </c>
      <c r="E56" s="22" t="s">
        <v>287</v>
      </c>
      <c r="F56" s="25" t="s">
        <v>53</v>
      </c>
      <c r="G56" s="42" t="s">
        <v>54</v>
      </c>
      <c r="H56" s="25" t="s">
        <v>305</v>
      </c>
      <c r="I56" s="25" t="s">
        <v>56</v>
      </c>
      <c r="J56" s="25" t="s">
        <v>57</v>
      </c>
      <c r="K56" s="18">
        <v>801116</v>
      </c>
      <c r="L56" s="25" t="s">
        <v>58</v>
      </c>
      <c r="M56" s="25" t="s">
        <v>59</v>
      </c>
      <c r="N56" s="25" t="s">
        <v>60</v>
      </c>
      <c r="O56" s="25" t="s">
        <v>299</v>
      </c>
      <c r="P56" s="43" t="s">
        <v>345</v>
      </c>
      <c r="Q56" s="28">
        <f t="shared" si="4"/>
        <v>463500</v>
      </c>
      <c r="R56" s="44">
        <v>1</v>
      </c>
      <c r="S56" s="30">
        <v>5330250</v>
      </c>
      <c r="T56" s="31" t="s">
        <v>318</v>
      </c>
      <c r="U56" s="46" t="s">
        <v>68</v>
      </c>
      <c r="V56" s="46" t="s">
        <v>308</v>
      </c>
      <c r="W56" s="53">
        <v>11.5</v>
      </c>
      <c r="X56" s="34">
        <v>64</v>
      </c>
      <c r="Y56" s="47">
        <v>43102</v>
      </c>
      <c r="Z56" s="54">
        <v>5330250</v>
      </c>
      <c r="AA56" s="37"/>
      <c r="AB56" s="37">
        <v>14</v>
      </c>
      <c r="AC56" s="50">
        <v>43102</v>
      </c>
      <c r="AD56" s="39">
        <v>5330250</v>
      </c>
      <c r="AE56" s="39">
        <f t="shared" si="5"/>
        <v>0</v>
      </c>
      <c r="AF56" s="34">
        <v>160</v>
      </c>
      <c r="AG56" s="51">
        <v>43118</v>
      </c>
      <c r="AH56" s="39">
        <v>5330250</v>
      </c>
      <c r="AI56" s="18" t="s">
        <v>351</v>
      </c>
      <c r="AJ56" s="18">
        <v>133</v>
      </c>
      <c r="AK56" s="39">
        <f t="shared" si="0"/>
        <v>0</v>
      </c>
      <c r="AL56" s="39">
        <v>1127850</v>
      </c>
      <c r="AM56" s="39">
        <f t="shared" si="1"/>
        <v>4202400</v>
      </c>
      <c r="AN56" s="34"/>
      <c r="AO56" s="41">
        <f t="shared" si="2"/>
        <v>0</v>
      </c>
      <c r="AP56" s="34"/>
      <c r="AQ56" s="52">
        <v>43102</v>
      </c>
      <c r="AR56" s="24" t="s">
        <v>312</v>
      </c>
      <c r="AS56" s="52">
        <v>43102</v>
      </c>
      <c r="AT56" s="24" t="s">
        <v>313</v>
      </c>
    </row>
    <row r="57" spans="1:46" ht="102" x14ac:dyDescent="0.25">
      <c r="A57" s="18">
        <f t="shared" si="6"/>
        <v>52</v>
      </c>
      <c r="B57" s="19" t="str">
        <f t="shared" si="3"/>
        <v>208-52</v>
      </c>
      <c r="C57" s="20" t="s">
        <v>285</v>
      </c>
      <c r="D57" s="21" t="s">
        <v>286</v>
      </c>
      <c r="E57" s="42" t="s">
        <v>295</v>
      </c>
      <c r="F57" s="25" t="s">
        <v>53</v>
      </c>
      <c r="G57" s="42" t="s">
        <v>54</v>
      </c>
      <c r="H57" s="25" t="s">
        <v>305</v>
      </c>
      <c r="I57" s="25" t="s">
        <v>56</v>
      </c>
      <c r="J57" s="25" t="s">
        <v>57</v>
      </c>
      <c r="K57" s="18">
        <v>801116</v>
      </c>
      <c r="L57" s="25" t="s">
        <v>58</v>
      </c>
      <c r="M57" s="25" t="s">
        <v>59</v>
      </c>
      <c r="N57" s="25" t="s">
        <v>60</v>
      </c>
      <c r="O57" s="25" t="s">
        <v>299</v>
      </c>
      <c r="P57" s="43" t="s">
        <v>345</v>
      </c>
      <c r="Q57" s="28">
        <f t="shared" si="4"/>
        <v>1081500</v>
      </c>
      <c r="R57" s="44">
        <v>1</v>
      </c>
      <c r="S57" s="30">
        <v>12437250</v>
      </c>
      <c r="T57" s="31" t="s">
        <v>318</v>
      </c>
      <c r="U57" s="46" t="s">
        <v>68</v>
      </c>
      <c r="V57" s="46" t="s">
        <v>308</v>
      </c>
      <c r="W57" s="53">
        <v>11.5</v>
      </c>
      <c r="X57" s="34">
        <v>63</v>
      </c>
      <c r="Y57" s="47">
        <v>43102</v>
      </c>
      <c r="Z57" s="54">
        <v>12437250</v>
      </c>
      <c r="AA57" s="37"/>
      <c r="AB57" s="37">
        <v>14</v>
      </c>
      <c r="AC57" s="50">
        <v>43102</v>
      </c>
      <c r="AD57" s="39">
        <v>12437250</v>
      </c>
      <c r="AE57" s="39">
        <f t="shared" si="5"/>
        <v>0</v>
      </c>
      <c r="AF57" s="34">
        <v>160</v>
      </c>
      <c r="AG57" s="51">
        <v>43118</v>
      </c>
      <c r="AH57" s="39">
        <v>12437250</v>
      </c>
      <c r="AI57" s="18" t="s">
        <v>351</v>
      </c>
      <c r="AJ57" s="18">
        <v>133</v>
      </c>
      <c r="AK57" s="39">
        <f t="shared" si="0"/>
        <v>0</v>
      </c>
      <c r="AL57" s="39">
        <v>2631650</v>
      </c>
      <c r="AM57" s="39">
        <f t="shared" si="1"/>
        <v>9805600</v>
      </c>
      <c r="AN57" s="34"/>
      <c r="AO57" s="41">
        <f t="shared" si="2"/>
        <v>0</v>
      </c>
      <c r="AP57" s="34"/>
      <c r="AQ57" s="52">
        <v>43102</v>
      </c>
      <c r="AR57" s="24" t="s">
        <v>312</v>
      </c>
      <c r="AS57" s="52">
        <v>43102</v>
      </c>
      <c r="AT57" s="24" t="s">
        <v>313</v>
      </c>
    </row>
    <row r="58" spans="1:46" ht="114.75" x14ac:dyDescent="0.25">
      <c r="A58" s="18">
        <f t="shared" si="6"/>
        <v>53</v>
      </c>
      <c r="B58" s="19" t="str">
        <f t="shared" si="3"/>
        <v>208-53</v>
      </c>
      <c r="C58" s="20" t="s">
        <v>285</v>
      </c>
      <c r="D58" s="21" t="s">
        <v>286</v>
      </c>
      <c r="E58" s="22" t="s">
        <v>287</v>
      </c>
      <c r="F58" s="25" t="s">
        <v>53</v>
      </c>
      <c r="G58" s="42" t="s">
        <v>54</v>
      </c>
      <c r="H58" s="25" t="s">
        <v>305</v>
      </c>
      <c r="I58" s="25" t="s">
        <v>56</v>
      </c>
      <c r="J58" s="25" t="s">
        <v>57</v>
      </c>
      <c r="K58" s="18">
        <v>801116</v>
      </c>
      <c r="L58" s="25" t="s">
        <v>58</v>
      </c>
      <c r="M58" s="25" t="s">
        <v>59</v>
      </c>
      <c r="N58" s="25" t="s">
        <v>60</v>
      </c>
      <c r="O58" s="25" t="s">
        <v>299</v>
      </c>
      <c r="P58" s="43" t="s">
        <v>352</v>
      </c>
      <c r="Q58" s="28">
        <f t="shared" si="4"/>
        <v>1066050</v>
      </c>
      <c r="R58" s="44">
        <v>1</v>
      </c>
      <c r="S58" s="30">
        <v>12259575</v>
      </c>
      <c r="T58" s="31" t="s">
        <v>318</v>
      </c>
      <c r="U58" s="46" t="s">
        <v>68</v>
      </c>
      <c r="V58" s="46" t="s">
        <v>308</v>
      </c>
      <c r="W58" s="53">
        <v>11.5</v>
      </c>
      <c r="X58" s="34">
        <v>62</v>
      </c>
      <c r="Y58" s="47">
        <v>43102</v>
      </c>
      <c r="Z58" s="54">
        <v>12259575</v>
      </c>
      <c r="AA58" s="37"/>
      <c r="AB58" s="37">
        <v>12</v>
      </c>
      <c r="AC58" s="50">
        <v>43102</v>
      </c>
      <c r="AD58" s="39">
        <v>12259575</v>
      </c>
      <c r="AE58" s="39">
        <f t="shared" si="5"/>
        <v>0</v>
      </c>
      <c r="AF58" s="55">
        <v>180</v>
      </c>
      <c r="AG58" s="50">
        <v>43118</v>
      </c>
      <c r="AH58" s="39">
        <v>12259575</v>
      </c>
      <c r="AI58" s="18" t="s">
        <v>353</v>
      </c>
      <c r="AJ58" s="18">
        <v>180</v>
      </c>
      <c r="AK58" s="39">
        <f t="shared" si="0"/>
        <v>0</v>
      </c>
      <c r="AL58" s="39">
        <v>2594055</v>
      </c>
      <c r="AM58" s="39">
        <f t="shared" si="1"/>
        <v>9665520</v>
      </c>
      <c r="AN58" s="34"/>
      <c r="AO58" s="41">
        <f t="shared" si="2"/>
        <v>0</v>
      </c>
      <c r="AP58" s="34"/>
      <c r="AQ58" s="52">
        <v>43102</v>
      </c>
      <c r="AR58" s="24" t="s">
        <v>312</v>
      </c>
      <c r="AS58" s="52">
        <v>43102</v>
      </c>
      <c r="AT58" s="24" t="s">
        <v>313</v>
      </c>
    </row>
    <row r="59" spans="1:46" ht="102" x14ac:dyDescent="0.25">
      <c r="A59" s="18">
        <f t="shared" si="6"/>
        <v>54</v>
      </c>
      <c r="B59" s="19" t="str">
        <f t="shared" si="3"/>
        <v>208-54</v>
      </c>
      <c r="C59" s="20" t="s">
        <v>285</v>
      </c>
      <c r="D59" s="21" t="s">
        <v>286</v>
      </c>
      <c r="E59" s="42" t="s">
        <v>295</v>
      </c>
      <c r="F59" s="25" t="s">
        <v>53</v>
      </c>
      <c r="G59" s="42" t="s">
        <v>54</v>
      </c>
      <c r="H59" s="25" t="s">
        <v>305</v>
      </c>
      <c r="I59" s="25" t="s">
        <v>56</v>
      </c>
      <c r="J59" s="25" t="s">
        <v>57</v>
      </c>
      <c r="K59" s="18">
        <v>801116</v>
      </c>
      <c r="L59" s="25" t="s">
        <v>58</v>
      </c>
      <c r="M59" s="25" t="s">
        <v>59</v>
      </c>
      <c r="N59" s="25" t="s">
        <v>60</v>
      </c>
      <c r="O59" s="25" t="s">
        <v>299</v>
      </c>
      <c r="P59" s="43" t="s">
        <v>352</v>
      </c>
      <c r="Q59" s="28">
        <f t="shared" si="4"/>
        <v>2487450</v>
      </c>
      <c r="R59" s="44">
        <v>1</v>
      </c>
      <c r="S59" s="30">
        <v>28605675</v>
      </c>
      <c r="T59" s="31" t="s">
        <v>318</v>
      </c>
      <c r="U59" s="46" t="s">
        <v>68</v>
      </c>
      <c r="V59" s="46" t="s">
        <v>308</v>
      </c>
      <c r="W59" s="53">
        <v>11.5</v>
      </c>
      <c r="X59" s="34">
        <v>61</v>
      </c>
      <c r="Y59" s="47">
        <v>43102</v>
      </c>
      <c r="Z59" s="54">
        <v>28605675</v>
      </c>
      <c r="AA59" s="37"/>
      <c r="AB59" s="37">
        <v>12</v>
      </c>
      <c r="AC59" s="50">
        <v>43102</v>
      </c>
      <c r="AD59" s="39">
        <v>28605675</v>
      </c>
      <c r="AE59" s="39">
        <f t="shared" si="5"/>
        <v>0</v>
      </c>
      <c r="AF59" s="55">
        <v>180</v>
      </c>
      <c r="AG59" s="50">
        <v>43118</v>
      </c>
      <c r="AH59" s="39">
        <v>28605675</v>
      </c>
      <c r="AI59" s="18" t="s">
        <v>353</v>
      </c>
      <c r="AJ59" s="18">
        <v>180</v>
      </c>
      <c r="AK59" s="39">
        <f t="shared" si="0"/>
        <v>0</v>
      </c>
      <c r="AL59" s="39">
        <v>6052795</v>
      </c>
      <c r="AM59" s="39">
        <f t="shared" si="1"/>
        <v>22552880</v>
      </c>
      <c r="AN59" s="34"/>
      <c r="AO59" s="41">
        <f t="shared" si="2"/>
        <v>0</v>
      </c>
      <c r="AP59" s="34"/>
      <c r="AQ59" s="52">
        <v>43102</v>
      </c>
      <c r="AR59" s="24" t="s">
        <v>312</v>
      </c>
      <c r="AS59" s="52">
        <v>43102</v>
      </c>
      <c r="AT59" s="24" t="s">
        <v>313</v>
      </c>
    </row>
    <row r="60" spans="1:46" ht="114.75" x14ac:dyDescent="0.25">
      <c r="A60" s="18">
        <f t="shared" si="6"/>
        <v>55</v>
      </c>
      <c r="B60" s="19" t="str">
        <f t="shared" si="3"/>
        <v>208-55</v>
      </c>
      <c r="C60" s="20" t="s">
        <v>285</v>
      </c>
      <c r="D60" s="21" t="s">
        <v>286</v>
      </c>
      <c r="E60" s="22" t="s">
        <v>287</v>
      </c>
      <c r="F60" s="25" t="s">
        <v>53</v>
      </c>
      <c r="G60" s="42" t="s">
        <v>54</v>
      </c>
      <c r="H60" s="25" t="s">
        <v>305</v>
      </c>
      <c r="I60" s="25" t="s">
        <v>56</v>
      </c>
      <c r="J60" s="25" t="s">
        <v>57</v>
      </c>
      <c r="K60" s="18">
        <v>801116</v>
      </c>
      <c r="L60" s="25" t="s">
        <v>58</v>
      </c>
      <c r="M60" s="25" t="s">
        <v>59</v>
      </c>
      <c r="N60" s="25" t="s">
        <v>60</v>
      </c>
      <c r="O60" s="25" t="s">
        <v>299</v>
      </c>
      <c r="P60" s="43" t="s">
        <v>352</v>
      </c>
      <c r="Q60" s="28">
        <f t="shared" si="4"/>
        <v>1066050</v>
      </c>
      <c r="R60" s="44">
        <v>1</v>
      </c>
      <c r="S60" s="30">
        <v>12259575</v>
      </c>
      <c r="T60" s="31" t="s">
        <v>318</v>
      </c>
      <c r="U60" s="46" t="s">
        <v>68</v>
      </c>
      <c r="V60" s="46" t="s">
        <v>308</v>
      </c>
      <c r="W60" s="53">
        <v>11.5</v>
      </c>
      <c r="X60" s="34">
        <v>60</v>
      </c>
      <c r="Y60" s="47">
        <v>43102</v>
      </c>
      <c r="Z60" s="54">
        <v>12259575</v>
      </c>
      <c r="AA60" s="37"/>
      <c r="AB60" s="37">
        <v>10</v>
      </c>
      <c r="AC60" s="50">
        <v>43102</v>
      </c>
      <c r="AD60" s="39">
        <v>12259575</v>
      </c>
      <c r="AE60" s="39">
        <f t="shared" si="5"/>
        <v>0</v>
      </c>
      <c r="AF60" s="34">
        <v>12</v>
      </c>
      <c r="AG60" s="51">
        <v>43112</v>
      </c>
      <c r="AH60" s="39">
        <v>12259575</v>
      </c>
      <c r="AI60" s="18" t="s">
        <v>354</v>
      </c>
      <c r="AJ60" s="18">
        <v>9</v>
      </c>
      <c r="AK60" s="39">
        <f t="shared" si="0"/>
        <v>0</v>
      </c>
      <c r="AL60" s="113">
        <v>2665125</v>
      </c>
      <c r="AM60" s="39">
        <f t="shared" si="1"/>
        <v>9594450</v>
      </c>
      <c r="AN60" s="34"/>
      <c r="AO60" s="41">
        <f t="shared" si="2"/>
        <v>0</v>
      </c>
      <c r="AP60" s="34"/>
      <c r="AQ60" s="52">
        <v>43102</v>
      </c>
      <c r="AR60" s="24" t="s">
        <v>312</v>
      </c>
      <c r="AS60" s="52">
        <v>43102</v>
      </c>
      <c r="AT60" s="24" t="s">
        <v>313</v>
      </c>
    </row>
    <row r="61" spans="1:46" ht="102" x14ac:dyDescent="0.25">
      <c r="A61" s="18">
        <f t="shared" si="6"/>
        <v>56</v>
      </c>
      <c r="B61" s="19" t="str">
        <f t="shared" si="3"/>
        <v>208-56</v>
      </c>
      <c r="C61" s="20" t="s">
        <v>285</v>
      </c>
      <c r="D61" s="21" t="s">
        <v>286</v>
      </c>
      <c r="E61" s="42" t="s">
        <v>295</v>
      </c>
      <c r="F61" s="25" t="s">
        <v>53</v>
      </c>
      <c r="G61" s="42" t="s">
        <v>54</v>
      </c>
      <c r="H61" s="25" t="s">
        <v>305</v>
      </c>
      <c r="I61" s="25" t="s">
        <v>56</v>
      </c>
      <c r="J61" s="25" t="s">
        <v>57</v>
      </c>
      <c r="K61" s="18">
        <v>801116</v>
      </c>
      <c r="L61" s="25" t="s">
        <v>58</v>
      </c>
      <c r="M61" s="25" t="s">
        <v>59</v>
      </c>
      <c r="N61" s="25" t="s">
        <v>60</v>
      </c>
      <c r="O61" s="25" t="s">
        <v>299</v>
      </c>
      <c r="P61" s="43" t="s">
        <v>352</v>
      </c>
      <c r="Q61" s="28">
        <f t="shared" si="4"/>
        <v>2487450</v>
      </c>
      <c r="R61" s="44">
        <v>1</v>
      </c>
      <c r="S61" s="30">
        <v>28605675</v>
      </c>
      <c r="T61" s="31" t="s">
        <v>318</v>
      </c>
      <c r="U61" s="46" t="s">
        <v>68</v>
      </c>
      <c r="V61" s="46" t="s">
        <v>308</v>
      </c>
      <c r="W61" s="53">
        <v>11.5</v>
      </c>
      <c r="X61" s="34">
        <v>59</v>
      </c>
      <c r="Y61" s="47">
        <v>43102</v>
      </c>
      <c r="Z61" s="54">
        <v>28605675</v>
      </c>
      <c r="AA61" s="37"/>
      <c r="AB61" s="37">
        <v>10</v>
      </c>
      <c r="AC61" s="50">
        <v>43102</v>
      </c>
      <c r="AD61" s="39">
        <v>28605675</v>
      </c>
      <c r="AE61" s="39">
        <f t="shared" si="5"/>
        <v>0</v>
      </c>
      <c r="AF61" s="34">
        <v>12</v>
      </c>
      <c r="AG61" s="51">
        <v>43112</v>
      </c>
      <c r="AH61" s="39">
        <v>28605675</v>
      </c>
      <c r="AI61" s="18" t="s">
        <v>354</v>
      </c>
      <c r="AJ61" s="18">
        <v>9</v>
      </c>
      <c r="AK61" s="39">
        <f t="shared" si="0"/>
        <v>0</v>
      </c>
      <c r="AL61" s="39">
        <v>6218625</v>
      </c>
      <c r="AM61" s="39">
        <f t="shared" si="1"/>
        <v>22387050</v>
      </c>
      <c r="AN61" s="34"/>
      <c r="AO61" s="41">
        <f t="shared" si="2"/>
        <v>0</v>
      </c>
      <c r="AP61" s="34"/>
      <c r="AQ61" s="52">
        <v>43102</v>
      </c>
      <c r="AR61" s="24" t="s">
        <v>312</v>
      </c>
      <c r="AS61" s="52">
        <v>43102</v>
      </c>
      <c r="AT61" s="24" t="s">
        <v>313</v>
      </c>
    </row>
    <row r="62" spans="1:46" ht="114.75" x14ac:dyDescent="0.25">
      <c r="A62" s="18">
        <f t="shared" si="6"/>
        <v>57</v>
      </c>
      <c r="B62" s="19" t="str">
        <f t="shared" si="3"/>
        <v>208-57</v>
      </c>
      <c r="C62" s="20" t="s">
        <v>285</v>
      </c>
      <c r="D62" s="21" t="s">
        <v>286</v>
      </c>
      <c r="E62" s="22" t="s">
        <v>287</v>
      </c>
      <c r="F62" s="25" t="s">
        <v>53</v>
      </c>
      <c r="G62" s="42" t="s">
        <v>54</v>
      </c>
      <c r="H62" s="25" t="s">
        <v>305</v>
      </c>
      <c r="I62" s="25" t="s">
        <v>56</v>
      </c>
      <c r="J62" s="25" t="s">
        <v>57</v>
      </c>
      <c r="K62" s="18">
        <v>801116</v>
      </c>
      <c r="L62" s="25" t="s">
        <v>58</v>
      </c>
      <c r="M62" s="25" t="s">
        <v>59</v>
      </c>
      <c r="N62" s="25" t="s">
        <v>60</v>
      </c>
      <c r="O62" s="25" t="s">
        <v>299</v>
      </c>
      <c r="P62" s="43" t="s">
        <v>352</v>
      </c>
      <c r="Q62" s="28">
        <f t="shared" si="4"/>
        <v>1236000</v>
      </c>
      <c r="R62" s="44">
        <v>1</v>
      </c>
      <c r="S62" s="30">
        <v>14214000</v>
      </c>
      <c r="T62" s="31" t="s">
        <v>318</v>
      </c>
      <c r="U62" s="46" t="s">
        <v>68</v>
      </c>
      <c r="V62" s="46" t="s">
        <v>308</v>
      </c>
      <c r="W62" s="53">
        <v>11.5</v>
      </c>
      <c r="X62" s="34">
        <v>58</v>
      </c>
      <c r="Y62" s="47">
        <v>43102</v>
      </c>
      <c r="Z62" s="54">
        <v>14214000</v>
      </c>
      <c r="AA62" s="37"/>
      <c r="AB62" s="37">
        <v>9</v>
      </c>
      <c r="AC62" s="50">
        <v>43102</v>
      </c>
      <c r="AD62" s="39">
        <v>14214000</v>
      </c>
      <c r="AE62" s="39">
        <f t="shared" si="5"/>
        <v>0</v>
      </c>
      <c r="AF62" s="34">
        <v>60</v>
      </c>
      <c r="AG62" s="51">
        <v>43116</v>
      </c>
      <c r="AH62" s="39">
        <v>14214000</v>
      </c>
      <c r="AI62" s="18" t="s">
        <v>355</v>
      </c>
      <c r="AJ62" s="18">
        <v>25</v>
      </c>
      <c r="AK62" s="39">
        <f t="shared" si="0"/>
        <v>0</v>
      </c>
      <c r="AL62" s="39">
        <v>3048800.1</v>
      </c>
      <c r="AM62" s="39">
        <f t="shared" si="1"/>
        <v>11165199.9</v>
      </c>
      <c r="AN62" s="34"/>
      <c r="AO62" s="41">
        <f t="shared" si="2"/>
        <v>0</v>
      </c>
      <c r="AP62" s="34"/>
      <c r="AQ62" s="52">
        <v>43102</v>
      </c>
      <c r="AR62" s="24" t="s">
        <v>312</v>
      </c>
      <c r="AS62" s="52">
        <v>43102</v>
      </c>
      <c r="AT62" s="24" t="s">
        <v>313</v>
      </c>
    </row>
    <row r="63" spans="1:46" ht="102" x14ac:dyDescent="0.25">
      <c r="A63" s="18">
        <f t="shared" si="6"/>
        <v>58</v>
      </c>
      <c r="B63" s="19" t="str">
        <f t="shared" si="3"/>
        <v>208-58</v>
      </c>
      <c r="C63" s="20" t="s">
        <v>285</v>
      </c>
      <c r="D63" s="21" t="s">
        <v>286</v>
      </c>
      <c r="E63" s="42" t="s">
        <v>295</v>
      </c>
      <c r="F63" s="25" t="s">
        <v>53</v>
      </c>
      <c r="G63" s="42" t="s">
        <v>54</v>
      </c>
      <c r="H63" s="25" t="s">
        <v>305</v>
      </c>
      <c r="I63" s="25" t="s">
        <v>56</v>
      </c>
      <c r="J63" s="25" t="s">
        <v>57</v>
      </c>
      <c r="K63" s="18">
        <v>801116</v>
      </c>
      <c r="L63" s="25" t="s">
        <v>58</v>
      </c>
      <c r="M63" s="25" t="s">
        <v>59</v>
      </c>
      <c r="N63" s="25" t="s">
        <v>60</v>
      </c>
      <c r="O63" s="25" t="s">
        <v>299</v>
      </c>
      <c r="P63" s="43" t="s">
        <v>352</v>
      </c>
      <c r="Q63" s="28">
        <f t="shared" si="4"/>
        <v>2884000</v>
      </c>
      <c r="R63" s="44">
        <v>1</v>
      </c>
      <c r="S63" s="30">
        <v>33166000</v>
      </c>
      <c r="T63" s="31" t="s">
        <v>318</v>
      </c>
      <c r="U63" s="46" t="s">
        <v>68</v>
      </c>
      <c r="V63" s="46" t="s">
        <v>308</v>
      </c>
      <c r="W63" s="53">
        <v>11.5</v>
      </c>
      <c r="X63" s="34">
        <v>57</v>
      </c>
      <c r="Y63" s="47">
        <v>43102</v>
      </c>
      <c r="Z63" s="54">
        <v>33166000</v>
      </c>
      <c r="AA63" s="37"/>
      <c r="AB63" s="37">
        <v>9</v>
      </c>
      <c r="AC63" s="50">
        <v>43102</v>
      </c>
      <c r="AD63" s="39">
        <v>33166000</v>
      </c>
      <c r="AE63" s="39">
        <f t="shared" si="5"/>
        <v>0</v>
      </c>
      <c r="AF63" s="34">
        <v>60</v>
      </c>
      <c r="AG63" s="51">
        <v>43116</v>
      </c>
      <c r="AH63" s="39">
        <v>33166000</v>
      </c>
      <c r="AI63" s="18" t="s">
        <v>355</v>
      </c>
      <c r="AJ63" s="18">
        <v>25</v>
      </c>
      <c r="AK63" s="39">
        <f t="shared" si="0"/>
        <v>0</v>
      </c>
      <c r="AL63" s="39">
        <v>7113866.8999999994</v>
      </c>
      <c r="AM63" s="39">
        <f t="shared" si="1"/>
        <v>26052133.100000001</v>
      </c>
      <c r="AN63" s="34"/>
      <c r="AO63" s="41">
        <f t="shared" si="2"/>
        <v>0</v>
      </c>
      <c r="AP63" s="34"/>
      <c r="AQ63" s="52">
        <v>43102</v>
      </c>
      <c r="AR63" s="24" t="s">
        <v>312</v>
      </c>
      <c r="AS63" s="52">
        <v>43102</v>
      </c>
      <c r="AT63" s="24" t="s">
        <v>313</v>
      </c>
    </row>
    <row r="64" spans="1:46" ht="114.75" x14ac:dyDescent="0.25">
      <c r="A64" s="18">
        <f t="shared" si="6"/>
        <v>59</v>
      </c>
      <c r="B64" s="19" t="str">
        <f t="shared" si="3"/>
        <v>208-59</v>
      </c>
      <c r="C64" s="20" t="s">
        <v>285</v>
      </c>
      <c r="D64" s="21" t="s">
        <v>286</v>
      </c>
      <c r="E64" s="22" t="s">
        <v>287</v>
      </c>
      <c r="F64" s="25" t="s">
        <v>53</v>
      </c>
      <c r="G64" s="42" t="s">
        <v>54</v>
      </c>
      <c r="H64" s="25" t="s">
        <v>305</v>
      </c>
      <c r="I64" s="25" t="s">
        <v>56</v>
      </c>
      <c r="J64" s="25" t="s">
        <v>57</v>
      </c>
      <c r="K64" s="18">
        <v>801116</v>
      </c>
      <c r="L64" s="25" t="s">
        <v>58</v>
      </c>
      <c r="M64" s="25" t="s">
        <v>59</v>
      </c>
      <c r="N64" s="25" t="s">
        <v>60</v>
      </c>
      <c r="O64" s="25" t="s">
        <v>299</v>
      </c>
      <c r="P64" s="43" t="s">
        <v>352</v>
      </c>
      <c r="Q64" s="28">
        <f t="shared" si="4"/>
        <v>1066050</v>
      </c>
      <c r="R64" s="44">
        <v>1</v>
      </c>
      <c r="S64" s="30">
        <v>12259575</v>
      </c>
      <c r="T64" s="31" t="s">
        <v>318</v>
      </c>
      <c r="U64" s="46" t="s">
        <v>68</v>
      </c>
      <c r="V64" s="46" t="s">
        <v>308</v>
      </c>
      <c r="W64" s="53">
        <v>11.5</v>
      </c>
      <c r="X64" s="34">
        <v>56</v>
      </c>
      <c r="Y64" s="47">
        <v>43102</v>
      </c>
      <c r="Z64" s="54">
        <v>12259575</v>
      </c>
      <c r="AA64" s="37"/>
      <c r="AB64" s="37">
        <v>7</v>
      </c>
      <c r="AC64" s="50">
        <v>43102</v>
      </c>
      <c r="AD64" s="39">
        <v>12259575</v>
      </c>
      <c r="AE64" s="39">
        <f t="shared" si="5"/>
        <v>0</v>
      </c>
      <c r="AF64" s="34">
        <v>9</v>
      </c>
      <c r="AG64" s="51">
        <v>43112</v>
      </c>
      <c r="AH64" s="39">
        <v>12259575</v>
      </c>
      <c r="AI64" s="18" t="s">
        <v>356</v>
      </c>
      <c r="AJ64" s="18">
        <v>13</v>
      </c>
      <c r="AK64" s="39">
        <f t="shared" si="0"/>
        <v>0</v>
      </c>
      <c r="AL64" s="39">
        <v>2665125</v>
      </c>
      <c r="AM64" s="39">
        <f t="shared" si="1"/>
        <v>9594450</v>
      </c>
      <c r="AN64" s="34"/>
      <c r="AO64" s="41">
        <f t="shared" si="2"/>
        <v>0</v>
      </c>
      <c r="AP64" s="34"/>
      <c r="AQ64" s="52">
        <v>43102</v>
      </c>
      <c r="AR64" s="24" t="s">
        <v>312</v>
      </c>
      <c r="AS64" s="52">
        <v>43102</v>
      </c>
      <c r="AT64" s="24" t="s">
        <v>313</v>
      </c>
    </row>
    <row r="65" spans="1:46" ht="102" x14ac:dyDescent="0.25">
      <c r="A65" s="18">
        <f t="shared" si="6"/>
        <v>60</v>
      </c>
      <c r="B65" s="19" t="str">
        <f t="shared" si="3"/>
        <v>208-60</v>
      </c>
      <c r="C65" s="20" t="s">
        <v>285</v>
      </c>
      <c r="D65" s="21" t="s">
        <v>286</v>
      </c>
      <c r="E65" s="42" t="s">
        <v>295</v>
      </c>
      <c r="F65" s="25" t="s">
        <v>53</v>
      </c>
      <c r="G65" s="42" t="s">
        <v>54</v>
      </c>
      <c r="H65" s="25" t="s">
        <v>305</v>
      </c>
      <c r="I65" s="25" t="s">
        <v>56</v>
      </c>
      <c r="J65" s="25" t="s">
        <v>57</v>
      </c>
      <c r="K65" s="18">
        <v>801116</v>
      </c>
      <c r="L65" s="25" t="s">
        <v>58</v>
      </c>
      <c r="M65" s="25" t="s">
        <v>59</v>
      </c>
      <c r="N65" s="25" t="s">
        <v>60</v>
      </c>
      <c r="O65" s="25" t="s">
        <v>299</v>
      </c>
      <c r="P65" s="43" t="s">
        <v>352</v>
      </c>
      <c r="Q65" s="28">
        <f t="shared" si="4"/>
        <v>2487450</v>
      </c>
      <c r="R65" s="44">
        <v>1</v>
      </c>
      <c r="S65" s="30">
        <v>28605675</v>
      </c>
      <c r="T65" s="31" t="s">
        <v>318</v>
      </c>
      <c r="U65" s="46" t="s">
        <v>68</v>
      </c>
      <c r="V65" s="46" t="s">
        <v>308</v>
      </c>
      <c r="W65" s="53">
        <v>11.5</v>
      </c>
      <c r="X65" s="34">
        <v>55</v>
      </c>
      <c r="Y65" s="47">
        <v>43102</v>
      </c>
      <c r="Z65" s="54">
        <v>28605675</v>
      </c>
      <c r="AA65" s="37"/>
      <c r="AB65" s="37">
        <v>7</v>
      </c>
      <c r="AC65" s="50">
        <v>43102</v>
      </c>
      <c r="AD65" s="39">
        <v>28605675</v>
      </c>
      <c r="AE65" s="39">
        <f t="shared" si="5"/>
        <v>0</v>
      </c>
      <c r="AF65" s="34">
        <v>9</v>
      </c>
      <c r="AG65" s="51">
        <v>43112</v>
      </c>
      <c r="AH65" s="39">
        <v>28605675</v>
      </c>
      <c r="AI65" s="18" t="s">
        <v>356</v>
      </c>
      <c r="AJ65" s="18">
        <v>13</v>
      </c>
      <c r="AK65" s="39">
        <f t="shared" si="0"/>
        <v>0</v>
      </c>
      <c r="AL65" s="39">
        <v>6218625</v>
      </c>
      <c r="AM65" s="39">
        <f t="shared" si="1"/>
        <v>22387050</v>
      </c>
      <c r="AN65" s="34"/>
      <c r="AO65" s="41">
        <f t="shared" si="2"/>
        <v>0</v>
      </c>
      <c r="AP65" s="34"/>
      <c r="AQ65" s="52">
        <v>43102</v>
      </c>
      <c r="AR65" s="24" t="s">
        <v>312</v>
      </c>
      <c r="AS65" s="52">
        <v>43102</v>
      </c>
      <c r="AT65" s="24" t="s">
        <v>313</v>
      </c>
    </row>
    <row r="66" spans="1:46" ht="114.75" x14ac:dyDescent="0.25">
      <c r="A66" s="18">
        <f t="shared" si="6"/>
        <v>61</v>
      </c>
      <c r="B66" s="19" t="str">
        <f t="shared" si="3"/>
        <v>208-61</v>
      </c>
      <c r="C66" s="20" t="s">
        <v>285</v>
      </c>
      <c r="D66" s="21" t="s">
        <v>286</v>
      </c>
      <c r="E66" s="22" t="s">
        <v>287</v>
      </c>
      <c r="F66" s="25" t="s">
        <v>53</v>
      </c>
      <c r="G66" s="42" t="s">
        <v>54</v>
      </c>
      <c r="H66" s="25" t="s">
        <v>305</v>
      </c>
      <c r="I66" s="25" t="s">
        <v>56</v>
      </c>
      <c r="J66" s="25" t="s">
        <v>57</v>
      </c>
      <c r="K66" s="18">
        <v>801116</v>
      </c>
      <c r="L66" s="25" t="s">
        <v>58</v>
      </c>
      <c r="M66" s="25" t="s">
        <v>59</v>
      </c>
      <c r="N66" s="25" t="s">
        <v>60</v>
      </c>
      <c r="O66" s="25" t="s">
        <v>299</v>
      </c>
      <c r="P66" s="43" t="s">
        <v>352</v>
      </c>
      <c r="Q66" s="28">
        <f t="shared" si="4"/>
        <v>1019700</v>
      </c>
      <c r="R66" s="44">
        <v>1</v>
      </c>
      <c r="S66" s="30">
        <v>11726550</v>
      </c>
      <c r="T66" s="31" t="s">
        <v>318</v>
      </c>
      <c r="U66" s="46" t="s">
        <v>68</v>
      </c>
      <c r="V66" s="46" t="s">
        <v>308</v>
      </c>
      <c r="W66" s="53">
        <v>11.5</v>
      </c>
      <c r="X66" s="34" t="s">
        <v>357</v>
      </c>
      <c r="Y66" s="47"/>
      <c r="Z66" s="54"/>
      <c r="AA66" s="37"/>
      <c r="AB66" s="37"/>
      <c r="AC66" s="38"/>
      <c r="AD66" s="39"/>
      <c r="AE66" s="39">
        <f t="shared" si="5"/>
        <v>11726550</v>
      </c>
      <c r="AF66" s="34"/>
      <c r="AG66" s="40"/>
      <c r="AH66" s="39"/>
      <c r="AI66" s="18"/>
      <c r="AJ66" s="18"/>
      <c r="AK66" s="39">
        <f t="shared" si="0"/>
        <v>0</v>
      </c>
      <c r="AL66" s="39"/>
      <c r="AM66" s="39">
        <f t="shared" si="1"/>
        <v>0</v>
      </c>
      <c r="AN66" s="34"/>
      <c r="AO66" s="41">
        <f t="shared" si="2"/>
        <v>11726550</v>
      </c>
      <c r="AP66" s="34"/>
      <c r="AQ66" s="52">
        <v>43102</v>
      </c>
      <c r="AR66" s="24" t="s">
        <v>312</v>
      </c>
      <c r="AS66" s="52">
        <v>43102</v>
      </c>
      <c r="AT66" s="24" t="s">
        <v>313</v>
      </c>
    </row>
    <row r="67" spans="1:46" ht="102" x14ac:dyDescent="0.25">
      <c r="A67" s="18">
        <f t="shared" si="6"/>
        <v>62</v>
      </c>
      <c r="B67" s="19" t="str">
        <f t="shared" si="3"/>
        <v>208-62</v>
      </c>
      <c r="C67" s="20" t="s">
        <v>285</v>
      </c>
      <c r="D67" s="21" t="s">
        <v>286</v>
      </c>
      <c r="E67" s="42" t="s">
        <v>295</v>
      </c>
      <c r="F67" s="25" t="s">
        <v>53</v>
      </c>
      <c r="G67" s="42" t="s">
        <v>54</v>
      </c>
      <c r="H67" s="25" t="s">
        <v>305</v>
      </c>
      <c r="I67" s="25" t="s">
        <v>56</v>
      </c>
      <c r="J67" s="25" t="s">
        <v>57</v>
      </c>
      <c r="K67" s="18">
        <v>801116</v>
      </c>
      <c r="L67" s="25" t="s">
        <v>58</v>
      </c>
      <c r="M67" s="25" t="s">
        <v>59</v>
      </c>
      <c r="N67" s="25" t="s">
        <v>60</v>
      </c>
      <c r="O67" s="25" t="s">
        <v>299</v>
      </c>
      <c r="P67" s="43" t="s">
        <v>352</v>
      </c>
      <c r="Q67" s="28">
        <f t="shared" si="4"/>
        <v>2379300</v>
      </c>
      <c r="R67" s="44">
        <v>1</v>
      </c>
      <c r="S67" s="30">
        <v>27361950</v>
      </c>
      <c r="T67" s="31" t="s">
        <v>318</v>
      </c>
      <c r="U67" s="46" t="s">
        <v>68</v>
      </c>
      <c r="V67" s="46" t="s">
        <v>308</v>
      </c>
      <c r="W67" s="53">
        <v>11.5</v>
      </c>
      <c r="X67" s="34" t="s">
        <v>358</v>
      </c>
      <c r="Y67" s="47"/>
      <c r="Z67" s="54"/>
      <c r="AA67" s="37"/>
      <c r="AB67" s="37"/>
      <c r="AC67" s="38"/>
      <c r="AD67" s="39"/>
      <c r="AE67" s="39">
        <f t="shared" si="5"/>
        <v>27361950</v>
      </c>
      <c r="AF67" s="34"/>
      <c r="AG67" s="40"/>
      <c r="AH67" s="39"/>
      <c r="AI67" s="18"/>
      <c r="AJ67" s="18"/>
      <c r="AK67" s="39">
        <f t="shared" si="0"/>
        <v>0</v>
      </c>
      <c r="AL67" s="39"/>
      <c r="AM67" s="39">
        <f t="shared" si="1"/>
        <v>0</v>
      </c>
      <c r="AN67" s="34"/>
      <c r="AO67" s="41">
        <f t="shared" si="2"/>
        <v>27361950</v>
      </c>
      <c r="AP67" s="34"/>
      <c r="AQ67" s="52">
        <v>43102</v>
      </c>
      <c r="AR67" s="24" t="s">
        <v>312</v>
      </c>
      <c r="AS67" s="52">
        <v>43102</v>
      </c>
      <c r="AT67" s="24" t="s">
        <v>313</v>
      </c>
    </row>
    <row r="68" spans="1:46" ht="114.75" x14ac:dyDescent="0.25">
      <c r="A68" s="18">
        <f t="shared" si="6"/>
        <v>63</v>
      </c>
      <c r="B68" s="19" t="str">
        <f t="shared" si="3"/>
        <v>208-63</v>
      </c>
      <c r="C68" s="20" t="s">
        <v>285</v>
      </c>
      <c r="D68" s="21" t="s">
        <v>286</v>
      </c>
      <c r="E68" s="22" t="s">
        <v>287</v>
      </c>
      <c r="F68" s="25" t="s">
        <v>53</v>
      </c>
      <c r="G68" s="42" t="s">
        <v>54</v>
      </c>
      <c r="H68" s="25" t="s">
        <v>305</v>
      </c>
      <c r="I68" s="25" t="s">
        <v>56</v>
      </c>
      <c r="J68" s="25" t="s">
        <v>57</v>
      </c>
      <c r="K68" s="18">
        <v>801116</v>
      </c>
      <c r="L68" s="25" t="s">
        <v>58</v>
      </c>
      <c r="M68" s="25" t="s">
        <v>59</v>
      </c>
      <c r="N68" s="25" t="s">
        <v>60</v>
      </c>
      <c r="O68" s="25" t="s">
        <v>299</v>
      </c>
      <c r="P68" s="43" t="s">
        <v>359</v>
      </c>
      <c r="Q68" s="28">
        <f t="shared" si="4"/>
        <v>618000</v>
      </c>
      <c r="R68" s="44">
        <v>1</v>
      </c>
      <c r="S68" s="30">
        <v>7107000</v>
      </c>
      <c r="T68" s="31" t="s">
        <v>318</v>
      </c>
      <c r="U68" s="46" t="s">
        <v>68</v>
      </c>
      <c r="V68" s="46" t="s">
        <v>308</v>
      </c>
      <c r="W68" s="53">
        <v>11.5</v>
      </c>
      <c r="X68" s="34">
        <v>52</v>
      </c>
      <c r="Y68" s="47">
        <v>43102</v>
      </c>
      <c r="Z68" s="54">
        <v>7107000</v>
      </c>
      <c r="AA68" s="37"/>
      <c r="AB68" s="37">
        <v>4</v>
      </c>
      <c r="AC68" s="50">
        <v>43102</v>
      </c>
      <c r="AD68" s="39">
        <v>7086399.8999999994</v>
      </c>
      <c r="AE68" s="39">
        <f t="shared" si="5"/>
        <v>20600.100000000559</v>
      </c>
      <c r="AF68" s="34">
        <v>40</v>
      </c>
      <c r="AG68" s="51">
        <v>43116</v>
      </c>
      <c r="AH68" s="39">
        <v>7086399.8999999994</v>
      </c>
      <c r="AI68" s="18" t="s">
        <v>360</v>
      </c>
      <c r="AJ68" s="18">
        <v>36</v>
      </c>
      <c r="AK68" s="39">
        <f t="shared" si="0"/>
        <v>0</v>
      </c>
      <c r="AL68" s="39">
        <v>2389599.9</v>
      </c>
      <c r="AM68" s="39">
        <f t="shared" si="1"/>
        <v>4696800</v>
      </c>
      <c r="AN68" s="34"/>
      <c r="AO68" s="41">
        <f t="shared" si="2"/>
        <v>20600.100000000559</v>
      </c>
      <c r="AP68" s="34"/>
      <c r="AQ68" s="52">
        <v>43102</v>
      </c>
      <c r="AR68" s="24" t="s">
        <v>312</v>
      </c>
      <c r="AS68" s="52">
        <v>43102</v>
      </c>
      <c r="AT68" s="24" t="s">
        <v>313</v>
      </c>
    </row>
    <row r="69" spans="1:46" ht="102" x14ac:dyDescent="0.25">
      <c r="A69" s="18">
        <f t="shared" si="6"/>
        <v>64</v>
      </c>
      <c r="B69" s="19" t="str">
        <f t="shared" si="3"/>
        <v>208-64</v>
      </c>
      <c r="C69" s="20" t="s">
        <v>285</v>
      </c>
      <c r="D69" s="21" t="s">
        <v>286</v>
      </c>
      <c r="E69" s="42" t="s">
        <v>295</v>
      </c>
      <c r="F69" s="25" t="s">
        <v>53</v>
      </c>
      <c r="G69" s="42" t="s">
        <v>54</v>
      </c>
      <c r="H69" s="25" t="s">
        <v>305</v>
      </c>
      <c r="I69" s="25" t="s">
        <v>56</v>
      </c>
      <c r="J69" s="25" t="s">
        <v>57</v>
      </c>
      <c r="K69" s="18">
        <v>801116</v>
      </c>
      <c r="L69" s="25" t="s">
        <v>58</v>
      </c>
      <c r="M69" s="25" t="s">
        <v>59</v>
      </c>
      <c r="N69" s="25" t="s">
        <v>60</v>
      </c>
      <c r="O69" s="25" t="s">
        <v>299</v>
      </c>
      <c r="P69" s="43" t="s">
        <v>359</v>
      </c>
      <c r="Q69" s="28">
        <f t="shared" si="4"/>
        <v>1442000</v>
      </c>
      <c r="R69" s="44">
        <v>1</v>
      </c>
      <c r="S69" s="30">
        <v>16583000</v>
      </c>
      <c r="T69" s="31" t="s">
        <v>318</v>
      </c>
      <c r="U69" s="46" t="s">
        <v>68</v>
      </c>
      <c r="V69" s="46" t="s">
        <v>308</v>
      </c>
      <c r="W69" s="53">
        <v>11.5</v>
      </c>
      <c r="X69" s="34">
        <v>51</v>
      </c>
      <c r="Y69" s="47">
        <v>43102</v>
      </c>
      <c r="Z69" s="54">
        <v>16583000</v>
      </c>
      <c r="AA69" s="37"/>
      <c r="AB69" s="37">
        <v>4</v>
      </c>
      <c r="AC69" s="50">
        <v>43102</v>
      </c>
      <c r="AD69" s="39">
        <v>16534933.1</v>
      </c>
      <c r="AE69" s="39">
        <f t="shared" si="5"/>
        <v>48066.900000000373</v>
      </c>
      <c r="AF69" s="34">
        <v>40</v>
      </c>
      <c r="AG69" s="51">
        <v>43116</v>
      </c>
      <c r="AH69" s="39">
        <v>16534933.1</v>
      </c>
      <c r="AI69" s="18" t="s">
        <v>360</v>
      </c>
      <c r="AJ69" s="18">
        <v>36</v>
      </c>
      <c r="AK69" s="39">
        <f t="shared" si="0"/>
        <v>0</v>
      </c>
      <c r="AL69" s="39">
        <v>5575733.0999999996</v>
      </c>
      <c r="AM69" s="39">
        <f t="shared" si="1"/>
        <v>10959200</v>
      </c>
      <c r="AN69" s="34"/>
      <c r="AO69" s="41">
        <f t="shared" si="2"/>
        <v>48066.900000000373</v>
      </c>
      <c r="AP69" s="34"/>
      <c r="AQ69" s="52">
        <v>43102</v>
      </c>
      <c r="AR69" s="24" t="s">
        <v>312</v>
      </c>
      <c r="AS69" s="52">
        <v>43102</v>
      </c>
      <c r="AT69" s="24" t="s">
        <v>313</v>
      </c>
    </row>
    <row r="70" spans="1:46" ht="114.75" x14ac:dyDescent="0.25">
      <c r="A70" s="18">
        <f t="shared" si="6"/>
        <v>65</v>
      </c>
      <c r="B70" s="19" t="str">
        <f t="shared" si="3"/>
        <v>208-65</v>
      </c>
      <c r="C70" s="20" t="s">
        <v>285</v>
      </c>
      <c r="D70" s="21" t="s">
        <v>286</v>
      </c>
      <c r="E70" s="22" t="s">
        <v>287</v>
      </c>
      <c r="F70" s="25" t="s">
        <v>53</v>
      </c>
      <c r="G70" s="42" t="s">
        <v>54</v>
      </c>
      <c r="H70" s="25" t="s">
        <v>305</v>
      </c>
      <c r="I70" s="25" t="s">
        <v>56</v>
      </c>
      <c r="J70" s="25" t="s">
        <v>57</v>
      </c>
      <c r="K70" s="18">
        <v>801116</v>
      </c>
      <c r="L70" s="25" t="s">
        <v>58</v>
      </c>
      <c r="M70" s="25" t="s">
        <v>59</v>
      </c>
      <c r="N70" s="25" t="s">
        <v>60</v>
      </c>
      <c r="O70" s="25" t="s">
        <v>299</v>
      </c>
      <c r="P70" s="43" t="s">
        <v>361</v>
      </c>
      <c r="Q70" s="28">
        <f t="shared" si="4"/>
        <v>1236000</v>
      </c>
      <c r="R70" s="44">
        <v>1</v>
      </c>
      <c r="S70" s="30">
        <v>14214000</v>
      </c>
      <c r="T70" s="31" t="s">
        <v>318</v>
      </c>
      <c r="U70" s="46" t="s">
        <v>68</v>
      </c>
      <c r="V70" s="46" t="s">
        <v>308</v>
      </c>
      <c r="W70" s="53">
        <v>11.5</v>
      </c>
      <c r="X70" s="34">
        <v>50</v>
      </c>
      <c r="Y70" s="47">
        <v>43102</v>
      </c>
      <c r="Z70" s="54">
        <v>14214000</v>
      </c>
      <c r="AA70" s="37"/>
      <c r="AB70" s="37">
        <v>55</v>
      </c>
      <c r="AC70" s="50">
        <v>43103</v>
      </c>
      <c r="AD70" s="39">
        <v>14214000</v>
      </c>
      <c r="AE70" s="39">
        <f t="shared" si="5"/>
        <v>0</v>
      </c>
      <c r="AF70" s="34">
        <v>184</v>
      </c>
      <c r="AG70" s="51">
        <v>43118</v>
      </c>
      <c r="AH70" s="39">
        <v>14214000</v>
      </c>
      <c r="AI70" s="18" t="s">
        <v>362</v>
      </c>
      <c r="AJ70" s="18">
        <v>135</v>
      </c>
      <c r="AK70" s="39">
        <f t="shared" ref="AK70:AK130" si="7">AD70-AH70</f>
        <v>0</v>
      </c>
      <c r="AL70" s="39">
        <v>3007599.9</v>
      </c>
      <c r="AM70" s="39">
        <f t="shared" ref="AM70:AM130" si="8">AH70-AL70</f>
        <v>11206400.1</v>
      </c>
      <c r="AN70" s="34"/>
      <c r="AO70" s="41">
        <f t="shared" ref="AO70:AO124" si="9">S70-AH70</f>
        <v>0</v>
      </c>
      <c r="AP70" s="34"/>
      <c r="AQ70" s="52">
        <v>43102</v>
      </c>
      <c r="AR70" s="24" t="s">
        <v>312</v>
      </c>
      <c r="AS70" s="52">
        <v>43102</v>
      </c>
      <c r="AT70" s="24" t="s">
        <v>313</v>
      </c>
    </row>
    <row r="71" spans="1:46" ht="102" x14ac:dyDescent="0.25">
      <c r="A71" s="18">
        <f t="shared" si="6"/>
        <v>66</v>
      </c>
      <c r="B71" s="19" t="str">
        <f t="shared" ref="B71:B126" si="10">+CONCATENATE("208-",A71)</f>
        <v>208-66</v>
      </c>
      <c r="C71" s="20" t="s">
        <v>285</v>
      </c>
      <c r="D71" s="21" t="s">
        <v>286</v>
      </c>
      <c r="E71" s="42" t="s">
        <v>295</v>
      </c>
      <c r="F71" s="25" t="s">
        <v>53</v>
      </c>
      <c r="G71" s="42" t="s">
        <v>54</v>
      </c>
      <c r="H71" s="25" t="s">
        <v>305</v>
      </c>
      <c r="I71" s="25" t="s">
        <v>56</v>
      </c>
      <c r="J71" s="25" t="s">
        <v>57</v>
      </c>
      <c r="K71" s="18">
        <v>801116</v>
      </c>
      <c r="L71" s="25" t="s">
        <v>58</v>
      </c>
      <c r="M71" s="25" t="s">
        <v>59</v>
      </c>
      <c r="N71" s="25" t="s">
        <v>60</v>
      </c>
      <c r="O71" s="25" t="s">
        <v>299</v>
      </c>
      <c r="P71" s="43" t="s">
        <v>361</v>
      </c>
      <c r="Q71" s="28">
        <f t="shared" ref="Q71:Q123" si="11">(S71/W71)/R71</f>
        <v>2884000</v>
      </c>
      <c r="R71" s="44">
        <v>1</v>
      </c>
      <c r="S71" s="30">
        <v>33166000</v>
      </c>
      <c r="T71" s="31" t="s">
        <v>318</v>
      </c>
      <c r="U71" s="46" t="s">
        <v>68</v>
      </c>
      <c r="V71" s="46" t="s">
        <v>308</v>
      </c>
      <c r="W71" s="53">
        <v>11.5</v>
      </c>
      <c r="X71" s="34">
        <v>49</v>
      </c>
      <c r="Y71" s="47">
        <v>43102</v>
      </c>
      <c r="Z71" s="54">
        <v>33166000</v>
      </c>
      <c r="AA71" s="37"/>
      <c r="AB71" s="37">
        <v>55</v>
      </c>
      <c r="AC71" s="50">
        <v>43103</v>
      </c>
      <c r="AD71" s="39">
        <v>33166000</v>
      </c>
      <c r="AE71" s="39">
        <f t="shared" ref="AE71:AE124" si="12">S71-AD71</f>
        <v>0</v>
      </c>
      <c r="AF71" s="34">
        <v>184</v>
      </c>
      <c r="AG71" s="51">
        <v>43118</v>
      </c>
      <c r="AH71" s="39">
        <v>33166000</v>
      </c>
      <c r="AI71" s="18" t="s">
        <v>362</v>
      </c>
      <c r="AJ71" s="18">
        <v>135</v>
      </c>
      <c r="AK71" s="39">
        <f t="shared" si="7"/>
        <v>0</v>
      </c>
      <c r="AL71" s="39">
        <v>7017733.0999999996</v>
      </c>
      <c r="AM71" s="39">
        <f t="shared" si="8"/>
        <v>26148266.899999999</v>
      </c>
      <c r="AN71" s="34"/>
      <c r="AO71" s="41">
        <f t="shared" si="9"/>
        <v>0</v>
      </c>
      <c r="AP71" s="34"/>
      <c r="AQ71" s="52">
        <v>43102</v>
      </c>
      <c r="AR71" s="24" t="s">
        <v>312</v>
      </c>
      <c r="AS71" s="52">
        <v>43102</v>
      </c>
      <c r="AT71" s="24" t="s">
        <v>313</v>
      </c>
    </row>
    <row r="72" spans="1:46" ht="114.75" x14ac:dyDescent="0.25">
      <c r="A72" s="18">
        <f t="shared" ref="A72:A124" si="13">A71+1</f>
        <v>67</v>
      </c>
      <c r="B72" s="19" t="str">
        <f t="shared" si="10"/>
        <v>208-67</v>
      </c>
      <c r="C72" s="20" t="s">
        <v>285</v>
      </c>
      <c r="D72" s="21" t="s">
        <v>286</v>
      </c>
      <c r="E72" s="22" t="s">
        <v>287</v>
      </c>
      <c r="F72" s="25" t="s">
        <v>53</v>
      </c>
      <c r="G72" s="42" t="s">
        <v>54</v>
      </c>
      <c r="H72" s="25" t="s">
        <v>305</v>
      </c>
      <c r="I72" s="25" t="s">
        <v>56</v>
      </c>
      <c r="J72" s="25" t="s">
        <v>57</v>
      </c>
      <c r="K72" s="18">
        <v>801116</v>
      </c>
      <c r="L72" s="25" t="s">
        <v>58</v>
      </c>
      <c r="M72" s="25" t="s">
        <v>59</v>
      </c>
      <c r="N72" s="25" t="s">
        <v>60</v>
      </c>
      <c r="O72" s="25" t="s">
        <v>299</v>
      </c>
      <c r="P72" s="43" t="s">
        <v>361</v>
      </c>
      <c r="Q72" s="28">
        <f t="shared" si="11"/>
        <v>1066050</v>
      </c>
      <c r="R72" s="44">
        <v>1</v>
      </c>
      <c r="S72" s="30">
        <v>12259575</v>
      </c>
      <c r="T72" s="31" t="s">
        <v>318</v>
      </c>
      <c r="U72" s="46" t="s">
        <v>68</v>
      </c>
      <c r="V72" s="46" t="s">
        <v>308</v>
      </c>
      <c r="W72" s="53">
        <v>11.5</v>
      </c>
      <c r="X72" s="34">
        <v>48</v>
      </c>
      <c r="Y72" s="47">
        <v>43102</v>
      </c>
      <c r="Z72" s="54">
        <v>12259575</v>
      </c>
      <c r="AA72" s="37"/>
      <c r="AB72" s="37">
        <v>54</v>
      </c>
      <c r="AC72" s="50">
        <v>43103</v>
      </c>
      <c r="AD72" s="39">
        <v>12259575</v>
      </c>
      <c r="AE72" s="39">
        <f t="shared" si="12"/>
        <v>0</v>
      </c>
      <c r="AF72" s="34">
        <v>15</v>
      </c>
      <c r="AG72" s="51">
        <v>43112</v>
      </c>
      <c r="AH72" s="39">
        <v>12259575</v>
      </c>
      <c r="AI72" s="18" t="s">
        <v>363</v>
      </c>
      <c r="AJ72" s="18">
        <v>11</v>
      </c>
      <c r="AK72" s="39">
        <f t="shared" si="7"/>
        <v>0</v>
      </c>
      <c r="AL72" s="39">
        <v>2665125</v>
      </c>
      <c r="AM72" s="39">
        <f t="shared" si="8"/>
        <v>9594450</v>
      </c>
      <c r="AN72" s="34"/>
      <c r="AO72" s="41">
        <f t="shared" si="9"/>
        <v>0</v>
      </c>
      <c r="AP72" s="34"/>
      <c r="AQ72" s="52">
        <v>43102</v>
      </c>
      <c r="AR72" s="24" t="s">
        <v>312</v>
      </c>
      <c r="AS72" s="52">
        <v>43102</v>
      </c>
      <c r="AT72" s="24" t="s">
        <v>313</v>
      </c>
    </row>
    <row r="73" spans="1:46" ht="102" x14ac:dyDescent="0.25">
      <c r="A73" s="18">
        <f t="shared" si="13"/>
        <v>68</v>
      </c>
      <c r="B73" s="19" t="str">
        <f t="shared" si="10"/>
        <v>208-68</v>
      </c>
      <c r="C73" s="20" t="s">
        <v>285</v>
      </c>
      <c r="D73" s="21" t="s">
        <v>286</v>
      </c>
      <c r="E73" s="42" t="s">
        <v>295</v>
      </c>
      <c r="F73" s="25" t="s">
        <v>53</v>
      </c>
      <c r="G73" s="42" t="s">
        <v>54</v>
      </c>
      <c r="H73" s="25" t="s">
        <v>305</v>
      </c>
      <c r="I73" s="25" t="s">
        <v>56</v>
      </c>
      <c r="J73" s="25" t="s">
        <v>57</v>
      </c>
      <c r="K73" s="18">
        <v>801116</v>
      </c>
      <c r="L73" s="25" t="s">
        <v>58</v>
      </c>
      <c r="M73" s="25" t="s">
        <v>59</v>
      </c>
      <c r="N73" s="25" t="s">
        <v>60</v>
      </c>
      <c r="O73" s="25" t="s">
        <v>299</v>
      </c>
      <c r="P73" s="43" t="s">
        <v>361</v>
      </c>
      <c r="Q73" s="28">
        <f t="shared" si="11"/>
        <v>2487450</v>
      </c>
      <c r="R73" s="44">
        <v>1</v>
      </c>
      <c r="S73" s="30">
        <v>28605675</v>
      </c>
      <c r="T73" s="31" t="s">
        <v>318</v>
      </c>
      <c r="U73" s="46" t="s">
        <v>68</v>
      </c>
      <c r="V73" s="46" t="s">
        <v>308</v>
      </c>
      <c r="W73" s="53">
        <v>11.5</v>
      </c>
      <c r="X73" s="34">
        <v>47</v>
      </c>
      <c r="Y73" s="47">
        <v>43102</v>
      </c>
      <c r="Z73" s="54">
        <v>28605675</v>
      </c>
      <c r="AA73" s="37"/>
      <c r="AB73" s="37">
        <v>54</v>
      </c>
      <c r="AC73" s="50">
        <v>43103</v>
      </c>
      <c r="AD73" s="39">
        <v>28605675</v>
      </c>
      <c r="AE73" s="39">
        <f t="shared" si="12"/>
        <v>0</v>
      </c>
      <c r="AF73" s="34">
        <v>15</v>
      </c>
      <c r="AG73" s="51">
        <v>43112</v>
      </c>
      <c r="AH73" s="39">
        <v>28605675</v>
      </c>
      <c r="AI73" s="18" t="s">
        <v>363</v>
      </c>
      <c r="AJ73" s="18">
        <v>11</v>
      </c>
      <c r="AK73" s="39">
        <f t="shared" si="7"/>
        <v>0</v>
      </c>
      <c r="AL73" s="39">
        <v>6218625</v>
      </c>
      <c r="AM73" s="39">
        <f t="shared" si="8"/>
        <v>22387050</v>
      </c>
      <c r="AN73" s="34"/>
      <c r="AO73" s="41">
        <f t="shared" si="9"/>
        <v>0</v>
      </c>
      <c r="AP73" s="34"/>
      <c r="AQ73" s="52">
        <v>43102</v>
      </c>
      <c r="AR73" s="24" t="s">
        <v>312</v>
      </c>
      <c r="AS73" s="52">
        <v>43102</v>
      </c>
      <c r="AT73" s="24" t="s">
        <v>313</v>
      </c>
    </row>
    <row r="74" spans="1:46" ht="114.75" x14ac:dyDescent="0.25">
      <c r="A74" s="18">
        <f t="shared" si="13"/>
        <v>69</v>
      </c>
      <c r="B74" s="19" t="str">
        <f t="shared" si="10"/>
        <v>208-69</v>
      </c>
      <c r="C74" s="20" t="s">
        <v>285</v>
      </c>
      <c r="D74" s="21" t="s">
        <v>286</v>
      </c>
      <c r="E74" s="22" t="s">
        <v>287</v>
      </c>
      <c r="F74" s="25" t="s">
        <v>53</v>
      </c>
      <c r="G74" s="42" t="s">
        <v>54</v>
      </c>
      <c r="H74" s="25" t="s">
        <v>305</v>
      </c>
      <c r="I74" s="25" t="s">
        <v>56</v>
      </c>
      <c r="J74" s="25" t="s">
        <v>57</v>
      </c>
      <c r="K74" s="18">
        <v>801116</v>
      </c>
      <c r="L74" s="25" t="s">
        <v>58</v>
      </c>
      <c r="M74" s="25" t="s">
        <v>59</v>
      </c>
      <c r="N74" s="25" t="s">
        <v>60</v>
      </c>
      <c r="O74" s="25" t="s">
        <v>299</v>
      </c>
      <c r="P74" s="43" t="s">
        <v>361</v>
      </c>
      <c r="Q74" s="28">
        <f t="shared" si="11"/>
        <v>1066050</v>
      </c>
      <c r="R74" s="44">
        <v>1</v>
      </c>
      <c r="S74" s="30">
        <v>12259575</v>
      </c>
      <c r="T74" s="31" t="s">
        <v>318</v>
      </c>
      <c r="U74" s="46" t="s">
        <v>68</v>
      </c>
      <c r="V74" s="46" t="s">
        <v>308</v>
      </c>
      <c r="W74" s="53">
        <v>11.5</v>
      </c>
      <c r="X74" s="34">
        <v>46</v>
      </c>
      <c r="Y74" s="47">
        <v>43102</v>
      </c>
      <c r="Z74" s="54">
        <v>12259575</v>
      </c>
      <c r="AA74" s="37"/>
      <c r="AB74" s="37">
        <v>53</v>
      </c>
      <c r="AC74" s="50">
        <v>43103</v>
      </c>
      <c r="AD74" s="39">
        <v>12259575</v>
      </c>
      <c r="AE74" s="39">
        <f t="shared" si="12"/>
        <v>0</v>
      </c>
      <c r="AF74" s="34">
        <v>183</v>
      </c>
      <c r="AG74" s="51">
        <v>43118</v>
      </c>
      <c r="AH74" s="39">
        <v>12259575</v>
      </c>
      <c r="AI74" s="18" t="s">
        <v>364</v>
      </c>
      <c r="AJ74" s="18">
        <v>137</v>
      </c>
      <c r="AK74" s="39">
        <f t="shared" si="7"/>
        <v>0</v>
      </c>
      <c r="AL74" s="39">
        <v>2594055</v>
      </c>
      <c r="AM74" s="39">
        <f t="shared" si="8"/>
        <v>9665520</v>
      </c>
      <c r="AN74" s="34"/>
      <c r="AO74" s="41">
        <f t="shared" si="9"/>
        <v>0</v>
      </c>
      <c r="AP74" s="34"/>
      <c r="AQ74" s="52">
        <v>43102</v>
      </c>
      <c r="AR74" s="24" t="s">
        <v>312</v>
      </c>
      <c r="AS74" s="52">
        <v>43102</v>
      </c>
      <c r="AT74" s="24" t="s">
        <v>313</v>
      </c>
    </row>
    <row r="75" spans="1:46" ht="102" x14ac:dyDescent="0.25">
      <c r="A75" s="18">
        <f t="shared" si="13"/>
        <v>70</v>
      </c>
      <c r="B75" s="19" t="str">
        <f t="shared" si="10"/>
        <v>208-70</v>
      </c>
      <c r="C75" s="20" t="s">
        <v>285</v>
      </c>
      <c r="D75" s="21" t="s">
        <v>286</v>
      </c>
      <c r="E75" s="42" t="s">
        <v>295</v>
      </c>
      <c r="F75" s="25" t="s">
        <v>53</v>
      </c>
      <c r="G75" s="42" t="s">
        <v>54</v>
      </c>
      <c r="H75" s="25" t="s">
        <v>305</v>
      </c>
      <c r="I75" s="25" t="s">
        <v>56</v>
      </c>
      <c r="J75" s="25" t="s">
        <v>57</v>
      </c>
      <c r="K75" s="18">
        <v>801116</v>
      </c>
      <c r="L75" s="25" t="s">
        <v>58</v>
      </c>
      <c r="M75" s="25" t="s">
        <v>59</v>
      </c>
      <c r="N75" s="25" t="s">
        <v>60</v>
      </c>
      <c r="O75" s="25" t="s">
        <v>299</v>
      </c>
      <c r="P75" s="43" t="s">
        <v>361</v>
      </c>
      <c r="Q75" s="28">
        <f t="shared" si="11"/>
        <v>2487450</v>
      </c>
      <c r="R75" s="44">
        <v>1</v>
      </c>
      <c r="S75" s="30">
        <v>28605675</v>
      </c>
      <c r="T75" s="31" t="s">
        <v>318</v>
      </c>
      <c r="U75" s="46" t="s">
        <v>68</v>
      </c>
      <c r="V75" s="46" t="s">
        <v>308</v>
      </c>
      <c r="W75" s="53">
        <v>11.5</v>
      </c>
      <c r="X75" s="34">
        <v>45</v>
      </c>
      <c r="Y75" s="47">
        <v>43102</v>
      </c>
      <c r="Z75" s="54">
        <v>28605675</v>
      </c>
      <c r="AA75" s="37"/>
      <c r="AB75" s="37">
        <v>53</v>
      </c>
      <c r="AC75" s="50">
        <v>43103</v>
      </c>
      <c r="AD75" s="39">
        <v>28605675</v>
      </c>
      <c r="AE75" s="39">
        <f t="shared" si="12"/>
        <v>0</v>
      </c>
      <c r="AF75" s="34">
        <v>183</v>
      </c>
      <c r="AG75" s="51">
        <v>43118</v>
      </c>
      <c r="AH75" s="39">
        <v>28605675</v>
      </c>
      <c r="AI75" s="18" t="s">
        <v>364</v>
      </c>
      <c r="AJ75" s="18">
        <v>137</v>
      </c>
      <c r="AK75" s="39">
        <f t="shared" si="7"/>
        <v>0</v>
      </c>
      <c r="AL75" s="39">
        <v>6052795</v>
      </c>
      <c r="AM75" s="39">
        <f t="shared" si="8"/>
        <v>22552880</v>
      </c>
      <c r="AN75" s="34"/>
      <c r="AO75" s="41">
        <f t="shared" si="9"/>
        <v>0</v>
      </c>
      <c r="AP75" s="34"/>
      <c r="AQ75" s="52">
        <v>43102</v>
      </c>
      <c r="AR75" s="24" t="s">
        <v>312</v>
      </c>
      <c r="AS75" s="52">
        <v>43102</v>
      </c>
      <c r="AT75" s="24" t="s">
        <v>313</v>
      </c>
    </row>
    <row r="76" spans="1:46" ht="114.75" x14ac:dyDescent="0.25">
      <c r="A76" s="18">
        <f t="shared" si="13"/>
        <v>71</v>
      </c>
      <c r="B76" s="19" t="str">
        <f t="shared" si="10"/>
        <v>208-71</v>
      </c>
      <c r="C76" s="20" t="s">
        <v>285</v>
      </c>
      <c r="D76" s="21" t="s">
        <v>286</v>
      </c>
      <c r="E76" s="22" t="s">
        <v>287</v>
      </c>
      <c r="F76" s="25" t="s">
        <v>53</v>
      </c>
      <c r="G76" s="42" t="s">
        <v>54</v>
      </c>
      <c r="H76" s="25" t="s">
        <v>305</v>
      </c>
      <c r="I76" s="25" t="s">
        <v>56</v>
      </c>
      <c r="J76" s="25" t="s">
        <v>57</v>
      </c>
      <c r="K76" s="18">
        <v>801116</v>
      </c>
      <c r="L76" s="25" t="s">
        <v>58</v>
      </c>
      <c r="M76" s="25" t="s">
        <v>59</v>
      </c>
      <c r="N76" s="25" t="s">
        <v>60</v>
      </c>
      <c r="O76" s="25" t="s">
        <v>299</v>
      </c>
      <c r="P76" s="43" t="s">
        <v>361</v>
      </c>
      <c r="Q76" s="28">
        <f t="shared" si="11"/>
        <v>1066050</v>
      </c>
      <c r="R76" s="44">
        <v>1</v>
      </c>
      <c r="S76" s="30">
        <v>12259575</v>
      </c>
      <c r="T76" s="31" t="s">
        <v>318</v>
      </c>
      <c r="U76" s="46" t="s">
        <v>68</v>
      </c>
      <c r="V76" s="46" t="s">
        <v>308</v>
      </c>
      <c r="W76" s="53">
        <v>11.5</v>
      </c>
      <c r="X76" s="34">
        <v>44</v>
      </c>
      <c r="Y76" s="47">
        <v>43102</v>
      </c>
      <c r="Z76" s="54">
        <v>12259575</v>
      </c>
      <c r="AA76" s="37"/>
      <c r="AB76" s="37">
        <v>51</v>
      </c>
      <c r="AC76" s="50">
        <v>43103</v>
      </c>
      <c r="AD76" s="39">
        <v>12259575</v>
      </c>
      <c r="AE76" s="39">
        <f t="shared" si="12"/>
        <v>0</v>
      </c>
      <c r="AF76" s="34">
        <v>257</v>
      </c>
      <c r="AG76" s="51">
        <v>43119</v>
      </c>
      <c r="AH76" s="39">
        <v>12259575</v>
      </c>
      <c r="AI76" s="18" t="s">
        <v>365</v>
      </c>
      <c r="AJ76" s="18">
        <v>225</v>
      </c>
      <c r="AK76" s="39">
        <f t="shared" si="7"/>
        <v>0</v>
      </c>
      <c r="AL76" s="39">
        <v>2451915</v>
      </c>
      <c r="AM76" s="39">
        <f t="shared" si="8"/>
        <v>9807660</v>
      </c>
      <c r="AN76" s="34"/>
      <c r="AO76" s="41">
        <f t="shared" si="9"/>
        <v>0</v>
      </c>
      <c r="AP76" s="34"/>
      <c r="AQ76" s="52">
        <v>43102</v>
      </c>
      <c r="AR76" s="24" t="s">
        <v>312</v>
      </c>
      <c r="AS76" s="52">
        <v>43102</v>
      </c>
      <c r="AT76" s="24" t="s">
        <v>313</v>
      </c>
    </row>
    <row r="77" spans="1:46" ht="102" x14ac:dyDescent="0.25">
      <c r="A77" s="18">
        <f t="shared" si="13"/>
        <v>72</v>
      </c>
      <c r="B77" s="19" t="str">
        <f t="shared" si="10"/>
        <v>208-72</v>
      </c>
      <c r="C77" s="20" t="s">
        <v>285</v>
      </c>
      <c r="D77" s="21" t="s">
        <v>286</v>
      </c>
      <c r="E77" s="42" t="s">
        <v>295</v>
      </c>
      <c r="F77" s="25" t="s">
        <v>53</v>
      </c>
      <c r="G77" s="42" t="s">
        <v>54</v>
      </c>
      <c r="H77" s="25" t="s">
        <v>305</v>
      </c>
      <c r="I77" s="25" t="s">
        <v>56</v>
      </c>
      <c r="J77" s="25" t="s">
        <v>57</v>
      </c>
      <c r="K77" s="18">
        <v>801116</v>
      </c>
      <c r="L77" s="25" t="s">
        <v>58</v>
      </c>
      <c r="M77" s="25" t="s">
        <v>59</v>
      </c>
      <c r="N77" s="25" t="s">
        <v>60</v>
      </c>
      <c r="O77" s="25" t="s">
        <v>299</v>
      </c>
      <c r="P77" s="43" t="s">
        <v>361</v>
      </c>
      <c r="Q77" s="28">
        <f t="shared" si="11"/>
        <v>2487450</v>
      </c>
      <c r="R77" s="44">
        <v>1</v>
      </c>
      <c r="S77" s="30">
        <v>28605675</v>
      </c>
      <c r="T77" s="31" t="s">
        <v>318</v>
      </c>
      <c r="U77" s="46" t="s">
        <v>68</v>
      </c>
      <c r="V77" s="46" t="s">
        <v>308</v>
      </c>
      <c r="W77" s="53">
        <v>11.5</v>
      </c>
      <c r="X77" s="34">
        <v>43</v>
      </c>
      <c r="Y77" s="47">
        <v>43102</v>
      </c>
      <c r="Z77" s="54">
        <v>28605675</v>
      </c>
      <c r="AA77" s="37"/>
      <c r="AB77" s="37">
        <v>51</v>
      </c>
      <c r="AC77" s="50">
        <v>43103</v>
      </c>
      <c r="AD77" s="39">
        <v>28605675</v>
      </c>
      <c r="AE77" s="39">
        <f t="shared" si="12"/>
        <v>0</v>
      </c>
      <c r="AF77" s="34">
        <v>257</v>
      </c>
      <c r="AG77" s="51">
        <v>43119</v>
      </c>
      <c r="AH77" s="39">
        <v>28605675</v>
      </c>
      <c r="AI77" s="18" t="s">
        <v>365</v>
      </c>
      <c r="AJ77" s="18">
        <v>225</v>
      </c>
      <c r="AK77" s="39">
        <f t="shared" si="7"/>
        <v>0</v>
      </c>
      <c r="AL77" s="39">
        <v>5721135</v>
      </c>
      <c r="AM77" s="39">
        <f t="shared" si="8"/>
        <v>22884540</v>
      </c>
      <c r="AN77" s="34"/>
      <c r="AO77" s="41">
        <f t="shared" si="9"/>
        <v>0</v>
      </c>
      <c r="AP77" s="34"/>
      <c r="AQ77" s="52">
        <v>43102</v>
      </c>
      <c r="AR77" s="24" t="s">
        <v>312</v>
      </c>
      <c r="AS77" s="52">
        <v>43102</v>
      </c>
      <c r="AT77" s="24" t="s">
        <v>313</v>
      </c>
    </row>
    <row r="78" spans="1:46" ht="114.75" x14ac:dyDescent="0.25">
      <c r="A78" s="18">
        <f t="shared" si="13"/>
        <v>73</v>
      </c>
      <c r="B78" s="19" t="str">
        <f t="shared" si="10"/>
        <v>208-73</v>
      </c>
      <c r="C78" s="20" t="s">
        <v>285</v>
      </c>
      <c r="D78" s="21" t="s">
        <v>286</v>
      </c>
      <c r="E78" s="22" t="s">
        <v>287</v>
      </c>
      <c r="F78" s="25" t="s">
        <v>53</v>
      </c>
      <c r="G78" s="42" t="s">
        <v>54</v>
      </c>
      <c r="H78" s="25" t="s">
        <v>305</v>
      </c>
      <c r="I78" s="25" t="s">
        <v>56</v>
      </c>
      <c r="J78" s="25" t="s">
        <v>57</v>
      </c>
      <c r="K78" s="18">
        <v>801116</v>
      </c>
      <c r="L78" s="25" t="s">
        <v>58</v>
      </c>
      <c r="M78" s="25" t="s">
        <v>59</v>
      </c>
      <c r="N78" s="25" t="s">
        <v>60</v>
      </c>
      <c r="O78" s="25" t="s">
        <v>299</v>
      </c>
      <c r="P78" s="43" t="s">
        <v>361</v>
      </c>
      <c r="Q78" s="28">
        <f t="shared" si="11"/>
        <v>1066050</v>
      </c>
      <c r="R78" s="44">
        <v>1</v>
      </c>
      <c r="S78" s="30">
        <v>12259575</v>
      </c>
      <c r="T78" s="31" t="s">
        <v>318</v>
      </c>
      <c r="U78" s="46" t="s">
        <v>68</v>
      </c>
      <c r="V78" s="46" t="s">
        <v>308</v>
      </c>
      <c r="W78" s="53">
        <v>11.5</v>
      </c>
      <c r="X78" s="34">
        <v>42</v>
      </c>
      <c r="Y78" s="47">
        <v>43102</v>
      </c>
      <c r="Z78" s="54">
        <v>12259575</v>
      </c>
      <c r="AA78" s="37"/>
      <c r="AB78" s="37">
        <v>49</v>
      </c>
      <c r="AC78" s="50">
        <v>43103</v>
      </c>
      <c r="AD78" s="39">
        <v>11726550</v>
      </c>
      <c r="AE78" s="39">
        <f t="shared" si="12"/>
        <v>533025</v>
      </c>
      <c r="AF78" s="34">
        <v>499</v>
      </c>
      <c r="AG78" s="51">
        <v>43126</v>
      </c>
      <c r="AH78" s="39">
        <v>11726550</v>
      </c>
      <c r="AI78" s="18" t="s">
        <v>366</v>
      </c>
      <c r="AJ78" s="18">
        <v>409</v>
      </c>
      <c r="AK78" s="39">
        <f t="shared" si="7"/>
        <v>0</v>
      </c>
      <c r="AL78" s="39">
        <v>2203170</v>
      </c>
      <c r="AM78" s="39">
        <f t="shared" si="8"/>
        <v>9523380</v>
      </c>
      <c r="AN78" s="34"/>
      <c r="AO78" s="41">
        <f t="shared" si="9"/>
        <v>533025</v>
      </c>
      <c r="AP78" s="34"/>
      <c r="AQ78" s="52">
        <v>43102</v>
      </c>
      <c r="AR78" s="24" t="s">
        <v>312</v>
      </c>
      <c r="AS78" s="52">
        <v>43102</v>
      </c>
      <c r="AT78" s="24" t="s">
        <v>313</v>
      </c>
    </row>
    <row r="79" spans="1:46" ht="102" x14ac:dyDescent="0.25">
      <c r="A79" s="18">
        <f t="shared" si="13"/>
        <v>74</v>
      </c>
      <c r="B79" s="19" t="str">
        <f t="shared" si="10"/>
        <v>208-74</v>
      </c>
      <c r="C79" s="20" t="s">
        <v>285</v>
      </c>
      <c r="D79" s="21" t="s">
        <v>286</v>
      </c>
      <c r="E79" s="42" t="s">
        <v>295</v>
      </c>
      <c r="F79" s="25" t="s">
        <v>53</v>
      </c>
      <c r="G79" s="42" t="s">
        <v>54</v>
      </c>
      <c r="H79" s="25" t="s">
        <v>305</v>
      </c>
      <c r="I79" s="25" t="s">
        <v>56</v>
      </c>
      <c r="J79" s="25" t="s">
        <v>57</v>
      </c>
      <c r="K79" s="18">
        <v>801116</v>
      </c>
      <c r="L79" s="25" t="s">
        <v>58</v>
      </c>
      <c r="M79" s="25" t="s">
        <v>59</v>
      </c>
      <c r="N79" s="25" t="s">
        <v>60</v>
      </c>
      <c r="O79" s="25" t="s">
        <v>299</v>
      </c>
      <c r="P79" s="43" t="s">
        <v>361</v>
      </c>
      <c r="Q79" s="28">
        <f t="shared" si="11"/>
        <v>2487450</v>
      </c>
      <c r="R79" s="44">
        <v>1</v>
      </c>
      <c r="S79" s="30">
        <v>28605675</v>
      </c>
      <c r="T79" s="31" t="s">
        <v>318</v>
      </c>
      <c r="U79" s="46" t="s">
        <v>68</v>
      </c>
      <c r="V79" s="46" t="s">
        <v>308</v>
      </c>
      <c r="W79" s="53">
        <v>11.5</v>
      </c>
      <c r="X79" s="34">
        <v>41</v>
      </c>
      <c r="Y79" s="47">
        <v>43102</v>
      </c>
      <c r="Z79" s="54">
        <v>28605675</v>
      </c>
      <c r="AA79" s="37"/>
      <c r="AB79" s="37">
        <v>49</v>
      </c>
      <c r="AC79" s="50">
        <v>43103</v>
      </c>
      <c r="AD79" s="39">
        <v>27361950</v>
      </c>
      <c r="AE79" s="39">
        <f t="shared" si="12"/>
        <v>1243725</v>
      </c>
      <c r="AF79" s="34">
        <v>499</v>
      </c>
      <c r="AG79" s="51">
        <v>43126</v>
      </c>
      <c r="AH79" s="39">
        <v>27361950</v>
      </c>
      <c r="AI79" s="18" t="s">
        <v>366</v>
      </c>
      <c r="AJ79" s="18">
        <v>409</v>
      </c>
      <c r="AK79" s="39">
        <f t="shared" si="7"/>
        <v>0</v>
      </c>
      <c r="AL79" s="39">
        <v>5140730</v>
      </c>
      <c r="AM79" s="39">
        <f t="shared" si="8"/>
        <v>22221220</v>
      </c>
      <c r="AN79" s="34"/>
      <c r="AO79" s="41">
        <f t="shared" si="9"/>
        <v>1243725</v>
      </c>
      <c r="AP79" s="34"/>
      <c r="AQ79" s="52">
        <v>43102</v>
      </c>
      <c r="AR79" s="24" t="s">
        <v>312</v>
      </c>
      <c r="AS79" s="52">
        <v>43102</v>
      </c>
      <c r="AT79" s="24" t="s">
        <v>313</v>
      </c>
    </row>
    <row r="80" spans="1:46" ht="114.75" x14ac:dyDescent="0.25">
      <c r="A80" s="18">
        <f t="shared" si="13"/>
        <v>75</v>
      </c>
      <c r="B80" s="19" t="str">
        <f t="shared" si="10"/>
        <v>208-75</v>
      </c>
      <c r="C80" s="20" t="s">
        <v>285</v>
      </c>
      <c r="D80" s="21" t="s">
        <v>286</v>
      </c>
      <c r="E80" s="22" t="s">
        <v>287</v>
      </c>
      <c r="F80" s="25" t="s">
        <v>53</v>
      </c>
      <c r="G80" s="42" t="s">
        <v>54</v>
      </c>
      <c r="H80" s="25" t="s">
        <v>305</v>
      </c>
      <c r="I80" s="25" t="s">
        <v>56</v>
      </c>
      <c r="J80" s="25" t="s">
        <v>57</v>
      </c>
      <c r="K80" s="18">
        <v>801116</v>
      </c>
      <c r="L80" s="25" t="s">
        <v>58</v>
      </c>
      <c r="M80" s="25" t="s">
        <v>59</v>
      </c>
      <c r="N80" s="25" t="s">
        <v>60</v>
      </c>
      <c r="O80" s="25" t="s">
        <v>299</v>
      </c>
      <c r="P80" s="43" t="s">
        <v>367</v>
      </c>
      <c r="Q80" s="28">
        <f t="shared" si="11"/>
        <v>1359600</v>
      </c>
      <c r="R80" s="44">
        <v>1</v>
      </c>
      <c r="S80" s="30">
        <v>15635400</v>
      </c>
      <c r="T80" s="31" t="s">
        <v>318</v>
      </c>
      <c r="U80" s="46" t="s">
        <v>68</v>
      </c>
      <c r="V80" s="46" t="s">
        <v>308</v>
      </c>
      <c r="W80" s="53">
        <v>11.5</v>
      </c>
      <c r="X80" s="34">
        <v>40</v>
      </c>
      <c r="Y80" s="47">
        <v>43102</v>
      </c>
      <c r="Z80" s="54">
        <v>15635400</v>
      </c>
      <c r="AA80" s="37"/>
      <c r="AB80" s="37">
        <v>46</v>
      </c>
      <c r="AC80" s="50">
        <v>43103</v>
      </c>
      <c r="AD80" s="39">
        <v>15635400</v>
      </c>
      <c r="AE80" s="39">
        <f t="shared" si="12"/>
        <v>0</v>
      </c>
      <c r="AF80" s="34">
        <v>10</v>
      </c>
      <c r="AG80" s="51">
        <v>43112</v>
      </c>
      <c r="AH80" s="39">
        <v>15635400</v>
      </c>
      <c r="AI80" s="18" t="s">
        <v>368</v>
      </c>
      <c r="AJ80" s="18">
        <v>10</v>
      </c>
      <c r="AK80" s="39">
        <f t="shared" si="7"/>
        <v>0</v>
      </c>
      <c r="AL80" s="39">
        <v>3399000</v>
      </c>
      <c r="AM80" s="39">
        <f t="shared" si="8"/>
        <v>12236400</v>
      </c>
      <c r="AN80" s="34"/>
      <c r="AO80" s="41">
        <f t="shared" si="9"/>
        <v>0</v>
      </c>
      <c r="AP80" s="34"/>
      <c r="AQ80" s="52">
        <v>43102</v>
      </c>
      <c r="AR80" s="24" t="s">
        <v>312</v>
      </c>
      <c r="AS80" s="52">
        <v>43102</v>
      </c>
      <c r="AT80" s="24" t="s">
        <v>313</v>
      </c>
    </row>
    <row r="81" spans="1:46" ht="102" x14ac:dyDescent="0.25">
      <c r="A81" s="18">
        <f t="shared" si="13"/>
        <v>76</v>
      </c>
      <c r="B81" s="19" t="str">
        <f t="shared" si="10"/>
        <v>208-76</v>
      </c>
      <c r="C81" s="20" t="s">
        <v>285</v>
      </c>
      <c r="D81" s="21" t="s">
        <v>286</v>
      </c>
      <c r="E81" s="42" t="s">
        <v>295</v>
      </c>
      <c r="F81" s="25" t="s">
        <v>53</v>
      </c>
      <c r="G81" s="42" t="s">
        <v>54</v>
      </c>
      <c r="H81" s="25" t="s">
        <v>305</v>
      </c>
      <c r="I81" s="25" t="s">
        <v>56</v>
      </c>
      <c r="J81" s="25" t="s">
        <v>57</v>
      </c>
      <c r="K81" s="18">
        <v>801116</v>
      </c>
      <c r="L81" s="25" t="s">
        <v>58</v>
      </c>
      <c r="M81" s="25" t="s">
        <v>59</v>
      </c>
      <c r="N81" s="25" t="s">
        <v>60</v>
      </c>
      <c r="O81" s="25" t="s">
        <v>299</v>
      </c>
      <c r="P81" s="43" t="s">
        <v>367</v>
      </c>
      <c r="Q81" s="28">
        <f t="shared" si="11"/>
        <v>3172400</v>
      </c>
      <c r="R81" s="44">
        <v>1</v>
      </c>
      <c r="S81" s="30">
        <v>36482600</v>
      </c>
      <c r="T81" s="31" t="s">
        <v>318</v>
      </c>
      <c r="U81" s="46" t="s">
        <v>68</v>
      </c>
      <c r="V81" s="46" t="s">
        <v>308</v>
      </c>
      <c r="W81" s="53">
        <v>11.5</v>
      </c>
      <c r="X81" s="34">
        <v>39</v>
      </c>
      <c r="Y81" s="47">
        <v>43102</v>
      </c>
      <c r="Z81" s="54">
        <v>36482600</v>
      </c>
      <c r="AA81" s="37"/>
      <c r="AB81" s="37">
        <v>46</v>
      </c>
      <c r="AC81" s="50">
        <v>43103</v>
      </c>
      <c r="AD81" s="39">
        <v>36482600</v>
      </c>
      <c r="AE81" s="39">
        <f t="shared" si="12"/>
        <v>0</v>
      </c>
      <c r="AF81" s="34">
        <v>10</v>
      </c>
      <c r="AG81" s="51">
        <v>43112</v>
      </c>
      <c r="AH81" s="39">
        <v>36482600</v>
      </c>
      <c r="AI81" s="18" t="s">
        <v>368</v>
      </c>
      <c r="AJ81" s="18">
        <v>10</v>
      </c>
      <c r="AK81" s="39">
        <f t="shared" si="7"/>
        <v>0</v>
      </c>
      <c r="AL81" s="39">
        <v>7930999.9999999991</v>
      </c>
      <c r="AM81" s="39">
        <f t="shared" si="8"/>
        <v>28551600</v>
      </c>
      <c r="AN81" s="34"/>
      <c r="AO81" s="41">
        <f t="shared" si="9"/>
        <v>0</v>
      </c>
      <c r="AP81" s="34"/>
      <c r="AQ81" s="52">
        <v>43102</v>
      </c>
      <c r="AR81" s="24" t="s">
        <v>312</v>
      </c>
      <c r="AS81" s="52">
        <v>43102</v>
      </c>
      <c r="AT81" s="24" t="s">
        <v>313</v>
      </c>
    </row>
    <row r="82" spans="1:46" ht="114.75" x14ac:dyDescent="0.25">
      <c r="A82" s="18">
        <f t="shared" si="13"/>
        <v>77</v>
      </c>
      <c r="B82" s="19" t="str">
        <f t="shared" si="10"/>
        <v>208-77</v>
      </c>
      <c r="C82" s="20" t="s">
        <v>285</v>
      </c>
      <c r="D82" s="21" t="s">
        <v>286</v>
      </c>
      <c r="E82" s="22" t="s">
        <v>287</v>
      </c>
      <c r="F82" s="25" t="s">
        <v>53</v>
      </c>
      <c r="G82" s="42" t="s">
        <v>54</v>
      </c>
      <c r="H82" s="25" t="s">
        <v>305</v>
      </c>
      <c r="I82" s="25" t="s">
        <v>56</v>
      </c>
      <c r="J82" s="25" t="s">
        <v>57</v>
      </c>
      <c r="K82" s="18">
        <v>801116</v>
      </c>
      <c r="L82" s="25" t="s">
        <v>58</v>
      </c>
      <c r="M82" s="25" t="s">
        <v>59</v>
      </c>
      <c r="N82" s="25" t="s">
        <v>60</v>
      </c>
      <c r="O82" s="25" t="s">
        <v>299</v>
      </c>
      <c r="P82" s="43" t="s">
        <v>369</v>
      </c>
      <c r="Q82" s="28">
        <f t="shared" si="11"/>
        <v>927000</v>
      </c>
      <c r="R82" s="44">
        <v>1</v>
      </c>
      <c r="S82" s="30">
        <v>10660500</v>
      </c>
      <c r="T82" s="31" t="s">
        <v>318</v>
      </c>
      <c r="U82" s="46" t="s">
        <v>68</v>
      </c>
      <c r="V82" s="46" t="s">
        <v>308</v>
      </c>
      <c r="W82" s="53">
        <v>11.5</v>
      </c>
      <c r="X82" s="34">
        <v>38</v>
      </c>
      <c r="Y82" s="47">
        <v>43102</v>
      </c>
      <c r="Z82" s="54">
        <v>10660500</v>
      </c>
      <c r="AA82" s="37"/>
      <c r="AB82" s="37">
        <v>44</v>
      </c>
      <c r="AC82" s="50">
        <v>43103</v>
      </c>
      <c r="AD82" s="39">
        <v>10660500</v>
      </c>
      <c r="AE82" s="39">
        <f t="shared" si="12"/>
        <v>0</v>
      </c>
      <c r="AF82" s="34">
        <v>159</v>
      </c>
      <c r="AG82" s="51">
        <v>43118</v>
      </c>
      <c r="AH82" s="39">
        <v>10660500</v>
      </c>
      <c r="AI82" s="18"/>
      <c r="AJ82" s="18"/>
      <c r="AK82" s="39">
        <f t="shared" si="7"/>
        <v>0</v>
      </c>
      <c r="AL82" s="39">
        <v>2255700</v>
      </c>
      <c r="AM82" s="39">
        <f t="shared" si="8"/>
        <v>8404800</v>
      </c>
      <c r="AN82" s="34"/>
      <c r="AO82" s="41">
        <f t="shared" si="9"/>
        <v>0</v>
      </c>
      <c r="AP82" s="34"/>
      <c r="AQ82" s="52">
        <v>43102</v>
      </c>
      <c r="AR82" s="24" t="s">
        <v>312</v>
      </c>
      <c r="AS82" s="52">
        <v>43102</v>
      </c>
      <c r="AT82" s="24" t="s">
        <v>313</v>
      </c>
    </row>
    <row r="83" spans="1:46" ht="102" x14ac:dyDescent="0.25">
      <c r="A83" s="18">
        <f t="shared" si="13"/>
        <v>78</v>
      </c>
      <c r="B83" s="19" t="str">
        <f t="shared" si="10"/>
        <v>208-78</v>
      </c>
      <c r="C83" s="20" t="s">
        <v>285</v>
      </c>
      <c r="D83" s="21" t="s">
        <v>286</v>
      </c>
      <c r="E83" s="42" t="s">
        <v>295</v>
      </c>
      <c r="F83" s="25" t="s">
        <v>53</v>
      </c>
      <c r="G83" s="42" t="s">
        <v>54</v>
      </c>
      <c r="H83" s="25" t="s">
        <v>305</v>
      </c>
      <c r="I83" s="25" t="s">
        <v>56</v>
      </c>
      <c r="J83" s="25" t="s">
        <v>57</v>
      </c>
      <c r="K83" s="18">
        <v>801116</v>
      </c>
      <c r="L83" s="25" t="s">
        <v>58</v>
      </c>
      <c r="M83" s="25" t="s">
        <v>59</v>
      </c>
      <c r="N83" s="25" t="s">
        <v>60</v>
      </c>
      <c r="O83" s="25" t="s">
        <v>299</v>
      </c>
      <c r="P83" s="43" t="s">
        <v>369</v>
      </c>
      <c r="Q83" s="28">
        <f t="shared" si="11"/>
        <v>2163000</v>
      </c>
      <c r="R83" s="44">
        <v>1</v>
      </c>
      <c r="S83" s="30">
        <v>24874500</v>
      </c>
      <c r="T83" s="31" t="s">
        <v>318</v>
      </c>
      <c r="U83" s="46" t="s">
        <v>68</v>
      </c>
      <c r="V83" s="46" t="s">
        <v>308</v>
      </c>
      <c r="W83" s="53">
        <v>11.5</v>
      </c>
      <c r="X83" s="34">
        <v>37</v>
      </c>
      <c r="Y83" s="47">
        <v>43102</v>
      </c>
      <c r="Z83" s="54">
        <v>24874500</v>
      </c>
      <c r="AA83" s="37"/>
      <c r="AB83" s="37">
        <v>44</v>
      </c>
      <c r="AC83" s="50">
        <v>43103</v>
      </c>
      <c r="AD83" s="39">
        <v>24874500</v>
      </c>
      <c r="AE83" s="39">
        <f t="shared" si="12"/>
        <v>0</v>
      </c>
      <c r="AF83" s="34">
        <v>159</v>
      </c>
      <c r="AG83" s="51">
        <v>43118</v>
      </c>
      <c r="AH83" s="39">
        <v>24874500</v>
      </c>
      <c r="AI83" s="18"/>
      <c r="AJ83" s="18"/>
      <c r="AK83" s="39">
        <f t="shared" si="7"/>
        <v>0</v>
      </c>
      <c r="AL83" s="39">
        <v>5263300</v>
      </c>
      <c r="AM83" s="39">
        <f t="shared" si="8"/>
        <v>19611200</v>
      </c>
      <c r="AN83" s="34"/>
      <c r="AO83" s="41">
        <f t="shared" si="9"/>
        <v>0</v>
      </c>
      <c r="AP83" s="34"/>
      <c r="AQ83" s="52">
        <v>43102</v>
      </c>
      <c r="AR83" s="24" t="s">
        <v>312</v>
      </c>
      <c r="AS83" s="52">
        <v>43102</v>
      </c>
      <c r="AT83" s="24" t="s">
        <v>313</v>
      </c>
    </row>
    <row r="84" spans="1:46" ht="114.75" x14ac:dyDescent="0.25">
      <c r="A84" s="18">
        <f t="shared" si="13"/>
        <v>79</v>
      </c>
      <c r="B84" s="19" t="str">
        <f t="shared" si="10"/>
        <v>208-79</v>
      </c>
      <c r="C84" s="20" t="s">
        <v>285</v>
      </c>
      <c r="D84" s="21" t="s">
        <v>286</v>
      </c>
      <c r="E84" s="22" t="s">
        <v>287</v>
      </c>
      <c r="F84" s="25" t="s">
        <v>53</v>
      </c>
      <c r="G84" s="42" t="s">
        <v>54</v>
      </c>
      <c r="H84" s="25" t="s">
        <v>305</v>
      </c>
      <c r="I84" s="25" t="s">
        <v>56</v>
      </c>
      <c r="J84" s="25" t="s">
        <v>57</v>
      </c>
      <c r="K84" s="18">
        <v>801116</v>
      </c>
      <c r="L84" s="25" t="s">
        <v>58</v>
      </c>
      <c r="M84" s="25" t="s">
        <v>59</v>
      </c>
      <c r="N84" s="25" t="s">
        <v>60</v>
      </c>
      <c r="O84" s="25" t="s">
        <v>299</v>
      </c>
      <c r="P84" s="43" t="s">
        <v>367</v>
      </c>
      <c r="Q84" s="28">
        <f t="shared" si="11"/>
        <v>1854000</v>
      </c>
      <c r="R84" s="44">
        <v>1</v>
      </c>
      <c r="S84" s="30">
        <v>21321000</v>
      </c>
      <c r="T84" s="31" t="s">
        <v>318</v>
      </c>
      <c r="U84" s="46" t="s">
        <v>68</v>
      </c>
      <c r="V84" s="46" t="s">
        <v>308</v>
      </c>
      <c r="W84" s="53">
        <v>11.5</v>
      </c>
      <c r="X84" s="34">
        <v>36</v>
      </c>
      <c r="Y84" s="47">
        <v>43102</v>
      </c>
      <c r="Z84" s="54">
        <v>21321000</v>
      </c>
      <c r="AA84" s="37"/>
      <c r="AB84" s="37">
        <v>40</v>
      </c>
      <c r="AC84" s="50">
        <v>43103</v>
      </c>
      <c r="AD84" s="39">
        <v>21321000</v>
      </c>
      <c r="AE84" s="39">
        <f t="shared" si="12"/>
        <v>0</v>
      </c>
      <c r="AF84" s="34">
        <v>142</v>
      </c>
      <c r="AG84" s="51">
        <v>43117</v>
      </c>
      <c r="AH84" s="39">
        <v>21321000</v>
      </c>
      <c r="AI84" s="18"/>
      <c r="AJ84" s="18"/>
      <c r="AK84" s="39">
        <f t="shared" si="7"/>
        <v>0</v>
      </c>
      <c r="AL84" s="39">
        <v>4511400</v>
      </c>
      <c r="AM84" s="39">
        <f t="shared" si="8"/>
        <v>16809600</v>
      </c>
      <c r="AN84" s="34"/>
      <c r="AO84" s="41">
        <f t="shared" si="9"/>
        <v>0</v>
      </c>
      <c r="AP84" s="34"/>
      <c r="AQ84" s="52">
        <v>43102</v>
      </c>
      <c r="AR84" s="24" t="s">
        <v>312</v>
      </c>
      <c r="AS84" s="52">
        <v>43102</v>
      </c>
      <c r="AT84" s="24" t="s">
        <v>313</v>
      </c>
    </row>
    <row r="85" spans="1:46" ht="102" x14ac:dyDescent="0.25">
      <c r="A85" s="18">
        <f t="shared" si="13"/>
        <v>80</v>
      </c>
      <c r="B85" s="19" t="str">
        <f t="shared" si="10"/>
        <v>208-80</v>
      </c>
      <c r="C85" s="20" t="s">
        <v>285</v>
      </c>
      <c r="D85" s="21" t="s">
        <v>286</v>
      </c>
      <c r="E85" s="42" t="s">
        <v>295</v>
      </c>
      <c r="F85" s="25" t="s">
        <v>53</v>
      </c>
      <c r="G85" s="42" t="s">
        <v>54</v>
      </c>
      <c r="H85" s="25" t="s">
        <v>305</v>
      </c>
      <c r="I85" s="25" t="s">
        <v>56</v>
      </c>
      <c r="J85" s="25" t="s">
        <v>57</v>
      </c>
      <c r="K85" s="18">
        <v>801116</v>
      </c>
      <c r="L85" s="25" t="s">
        <v>58</v>
      </c>
      <c r="M85" s="25" t="s">
        <v>59</v>
      </c>
      <c r="N85" s="25" t="s">
        <v>60</v>
      </c>
      <c r="O85" s="25" t="s">
        <v>299</v>
      </c>
      <c r="P85" s="43" t="s">
        <v>367</v>
      </c>
      <c r="Q85" s="28">
        <f t="shared" si="11"/>
        <v>4326000</v>
      </c>
      <c r="R85" s="44">
        <v>1</v>
      </c>
      <c r="S85" s="30">
        <v>49749000</v>
      </c>
      <c r="T85" s="31" t="s">
        <v>318</v>
      </c>
      <c r="U85" s="46" t="s">
        <v>68</v>
      </c>
      <c r="V85" s="46" t="s">
        <v>308</v>
      </c>
      <c r="W85" s="53">
        <v>11.5</v>
      </c>
      <c r="X85" s="34">
        <v>35</v>
      </c>
      <c r="Y85" s="47">
        <v>43102</v>
      </c>
      <c r="Z85" s="54">
        <v>49749000</v>
      </c>
      <c r="AA85" s="37"/>
      <c r="AB85" s="37">
        <v>40</v>
      </c>
      <c r="AC85" s="50">
        <v>43103</v>
      </c>
      <c r="AD85" s="39">
        <v>49749000</v>
      </c>
      <c r="AE85" s="39">
        <f t="shared" si="12"/>
        <v>0</v>
      </c>
      <c r="AF85" s="34">
        <v>142</v>
      </c>
      <c r="AG85" s="51">
        <v>43117</v>
      </c>
      <c r="AH85" s="39">
        <v>49749000</v>
      </c>
      <c r="AI85" s="18"/>
      <c r="AJ85" s="18"/>
      <c r="AK85" s="39">
        <f t="shared" si="7"/>
        <v>0</v>
      </c>
      <c r="AL85" s="39">
        <v>10526600</v>
      </c>
      <c r="AM85" s="39">
        <f t="shared" si="8"/>
        <v>39222400</v>
      </c>
      <c r="AN85" s="34"/>
      <c r="AO85" s="41">
        <f t="shared" si="9"/>
        <v>0</v>
      </c>
      <c r="AP85" s="34"/>
      <c r="AQ85" s="52">
        <v>43102</v>
      </c>
      <c r="AR85" s="24" t="s">
        <v>312</v>
      </c>
      <c r="AS85" s="52">
        <v>43102</v>
      </c>
      <c r="AT85" s="24" t="s">
        <v>313</v>
      </c>
    </row>
    <row r="86" spans="1:46" ht="114.75" x14ac:dyDescent="0.25">
      <c r="A86" s="18">
        <f t="shared" si="13"/>
        <v>81</v>
      </c>
      <c r="B86" s="19" t="str">
        <f t="shared" si="10"/>
        <v>208-81</v>
      </c>
      <c r="C86" s="20" t="s">
        <v>285</v>
      </c>
      <c r="D86" s="21" t="s">
        <v>286</v>
      </c>
      <c r="E86" s="22" t="s">
        <v>287</v>
      </c>
      <c r="F86" s="25" t="s">
        <v>53</v>
      </c>
      <c r="G86" s="42" t="s">
        <v>54</v>
      </c>
      <c r="H86" s="25" t="s">
        <v>305</v>
      </c>
      <c r="I86" s="25" t="s">
        <v>56</v>
      </c>
      <c r="J86" s="25" t="s">
        <v>57</v>
      </c>
      <c r="K86" s="18">
        <v>801116</v>
      </c>
      <c r="L86" s="25" t="s">
        <v>58</v>
      </c>
      <c r="M86" s="25" t="s">
        <v>59</v>
      </c>
      <c r="N86" s="25" t="s">
        <v>60</v>
      </c>
      <c r="O86" s="25" t="s">
        <v>299</v>
      </c>
      <c r="P86" s="43" t="s">
        <v>367</v>
      </c>
      <c r="Q86" s="28">
        <f t="shared" si="11"/>
        <v>1019700</v>
      </c>
      <c r="R86" s="44">
        <v>1</v>
      </c>
      <c r="S86" s="30">
        <v>11726550</v>
      </c>
      <c r="T86" s="31" t="s">
        <v>318</v>
      </c>
      <c r="U86" s="46" t="s">
        <v>68</v>
      </c>
      <c r="V86" s="46" t="s">
        <v>308</v>
      </c>
      <c r="W86" s="53">
        <v>11.5</v>
      </c>
      <c r="X86" s="34" t="s">
        <v>370</v>
      </c>
      <c r="Y86" s="47"/>
      <c r="Z86" s="54"/>
      <c r="AA86" s="37"/>
      <c r="AB86" s="37"/>
      <c r="AC86" s="38"/>
      <c r="AD86" s="39"/>
      <c r="AE86" s="39">
        <f t="shared" si="12"/>
        <v>11726550</v>
      </c>
      <c r="AF86" s="34"/>
      <c r="AG86" s="40"/>
      <c r="AH86" s="39"/>
      <c r="AI86" s="18"/>
      <c r="AJ86" s="18"/>
      <c r="AK86" s="39">
        <f t="shared" si="7"/>
        <v>0</v>
      </c>
      <c r="AL86" s="39"/>
      <c r="AM86" s="39">
        <f t="shared" si="8"/>
        <v>0</v>
      </c>
      <c r="AN86" s="34"/>
      <c r="AO86" s="41">
        <f t="shared" si="9"/>
        <v>11726550</v>
      </c>
      <c r="AP86" s="34"/>
      <c r="AQ86" s="52"/>
      <c r="AR86" s="24"/>
      <c r="AS86" s="52"/>
      <c r="AT86" s="24"/>
    </row>
    <row r="87" spans="1:46" ht="102" x14ac:dyDescent="0.25">
      <c r="A87" s="18">
        <f t="shared" si="13"/>
        <v>82</v>
      </c>
      <c r="B87" s="19" t="str">
        <f t="shared" si="10"/>
        <v>208-82</v>
      </c>
      <c r="C87" s="20" t="s">
        <v>285</v>
      </c>
      <c r="D87" s="21" t="s">
        <v>286</v>
      </c>
      <c r="E87" s="42" t="s">
        <v>295</v>
      </c>
      <c r="F87" s="25" t="s">
        <v>53</v>
      </c>
      <c r="G87" s="42" t="s">
        <v>54</v>
      </c>
      <c r="H87" s="25" t="s">
        <v>305</v>
      </c>
      <c r="I87" s="25" t="s">
        <v>56</v>
      </c>
      <c r="J87" s="25" t="s">
        <v>57</v>
      </c>
      <c r="K87" s="18">
        <v>801116</v>
      </c>
      <c r="L87" s="25" t="s">
        <v>58</v>
      </c>
      <c r="M87" s="25" t="s">
        <v>59</v>
      </c>
      <c r="N87" s="25" t="s">
        <v>60</v>
      </c>
      <c r="O87" s="25" t="s">
        <v>299</v>
      </c>
      <c r="P87" s="43" t="s">
        <v>367</v>
      </c>
      <c r="Q87" s="28">
        <f t="shared" si="11"/>
        <v>2379300</v>
      </c>
      <c r="R87" s="44">
        <v>1</v>
      </c>
      <c r="S87" s="30">
        <v>27361950</v>
      </c>
      <c r="T87" s="31" t="s">
        <v>318</v>
      </c>
      <c r="U87" s="46" t="s">
        <v>68</v>
      </c>
      <c r="V87" s="46" t="s">
        <v>308</v>
      </c>
      <c r="W87" s="53">
        <v>11.5</v>
      </c>
      <c r="X87" s="34" t="s">
        <v>371</v>
      </c>
      <c r="Y87" s="47"/>
      <c r="Z87" s="54"/>
      <c r="AA87" s="37"/>
      <c r="AB87" s="37"/>
      <c r="AC87" s="38"/>
      <c r="AD87" s="39"/>
      <c r="AE87" s="39">
        <f t="shared" si="12"/>
        <v>27361950</v>
      </c>
      <c r="AF87" s="34"/>
      <c r="AG87" s="40"/>
      <c r="AH87" s="39"/>
      <c r="AI87" s="18"/>
      <c r="AJ87" s="18"/>
      <c r="AK87" s="39">
        <f t="shared" si="7"/>
        <v>0</v>
      </c>
      <c r="AL87" s="39"/>
      <c r="AM87" s="39">
        <f t="shared" si="8"/>
        <v>0</v>
      </c>
      <c r="AN87" s="34"/>
      <c r="AO87" s="41">
        <f t="shared" si="9"/>
        <v>27361950</v>
      </c>
      <c r="AP87" s="34"/>
      <c r="AQ87" s="52"/>
      <c r="AR87" s="24"/>
      <c r="AS87" s="52"/>
      <c r="AT87" s="24"/>
    </row>
    <row r="88" spans="1:46" ht="114.75" x14ac:dyDescent="0.25">
      <c r="A88" s="18">
        <f t="shared" si="13"/>
        <v>83</v>
      </c>
      <c r="B88" s="19" t="str">
        <f t="shared" si="10"/>
        <v>208-83</v>
      </c>
      <c r="C88" s="20" t="s">
        <v>285</v>
      </c>
      <c r="D88" s="21" t="s">
        <v>286</v>
      </c>
      <c r="E88" s="22" t="s">
        <v>287</v>
      </c>
      <c r="F88" s="25" t="s">
        <v>53</v>
      </c>
      <c r="G88" s="42" t="s">
        <v>54</v>
      </c>
      <c r="H88" s="25" t="s">
        <v>305</v>
      </c>
      <c r="I88" s="25" t="s">
        <v>56</v>
      </c>
      <c r="J88" s="25" t="s">
        <v>57</v>
      </c>
      <c r="K88" s="18">
        <v>801116</v>
      </c>
      <c r="L88" s="25" t="s">
        <v>58</v>
      </c>
      <c r="M88" s="25" t="s">
        <v>59</v>
      </c>
      <c r="N88" s="25" t="s">
        <v>60</v>
      </c>
      <c r="O88" s="25" t="s">
        <v>299</v>
      </c>
      <c r="P88" s="43" t="s">
        <v>367</v>
      </c>
      <c r="Q88" s="28">
        <f t="shared" si="11"/>
        <v>1699500</v>
      </c>
      <c r="R88" s="44">
        <v>1</v>
      </c>
      <c r="S88" s="30">
        <v>19544250</v>
      </c>
      <c r="T88" s="31" t="s">
        <v>318</v>
      </c>
      <c r="U88" s="46" t="s">
        <v>68</v>
      </c>
      <c r="V88" s="46" t="s">
        <v>308</v>
      </c>
      <c r="W88" s="53">
        <v>11.5</v>
      </c>
      <c r="X88" s="34">
        <v>32</v>
      </c>
      <c r="Y88" s="47">
        <v>43102</v>
      </c>
      <c r="Z88" s="54">
        <v>19544250</v>
      </c>
      <c r="AA88" s="37"/>
      <c r="AB88" s="37">
        <v>34</v>
      </c>
      <c r="AC88" s="50">
        <v>43103</v>
      </c>
      <c r="AD88" s="39">
        <v>19544250</v>
      </c>
      <c r="AE88" s="39">
        <f t="shared" si="12"/>
        <v>0</v>
      </c>
      <c r="AF88" s="34">
        <v>186</v>
      </c>
      <c r="AG88" s="51">
        <v>43118</v>
      </c>
      <c r="AH88" s="39">
        <v>19544250</v>
      </c>
      <c r="AI88" s="18" t="s">
        <v>372</v>
      </c>
      <c r="AJ88" s="18">
        <v>149</v>
      </c>
      <c r="AK88" s="39">
        <f t="shared" si="7"/>
        <v>0</v>
      </c>
      <c r="AL88" s="39">
        <v>3908850</v>
      </c>
      <c r="AM88" s="39">
        <f t="shared" si="8"/>
        <v>15635400</v>
      </c>
      <c r="AN88" s="34"/>
      <c r="AO88" s="41">
        <f t="shared" si="9"/>
        <v>0</v>
      </c>
      <c r="AP88" s="34"/>
      <c r="AQ88" s="52">
        <v>43102</v>
      </c>
      <c r="AR88" s="24" t="s">
        <v>312</v>
      </c>
      <c r="AS88" s="52">
        <v>43102</v>
      </c>
      <c r="AT88" s="24" t="s">
        <v>313</v>
      </c>
    </row>
    <row r="89" spans="1:46" ht="102" x14ac:dyDescent="0.25">
      <c r="A89" s="18">
        <f t="shared" si="13"/>
        <v>84</v>
      </c>
      <c r="B89" s="19" t="str">
        <f t="shared" si="10"/>
        <v>208-84</v>
      </c>
      <c r="C89" s="20" t="s">
        <v>285</v>
      </c>
      <c r="D89" s="21" t="s">
        <v>286</v>
      </c>
      <c r="E89" s="42" t="s">
        <v>295</v>
      </c>
      <c r="F89" s="25" t="s">
        <v>53</v>
      </c>
      <c r="G89" s="42" t="s">
        <v>54</v>
      </c>
      <c r="H89" s="25" t="s">
        <v>305</v>
      </c>
      <c r="I89" s="25" t="s">
        <v>56</v>
      </c>
      <c r="J89" s="25" t="s">
        <v>57</v>
      </c>
      <c r="K89" s="18">
        <v>801116</v>
      </c>
      <c r="L89" s="25" t="s">
        <v>58</v>
      </c>
      <c r="M89" s="25" t="s">
        <v>59</v>
      </c>
      <c r="N89" s="25" t="s">
        <v>60</v>
      </c>
      <c r="O89" s="25" t="s">
        <v>299</v>
      </c>
      <c r="P89" s="43" t="s">
        <v>367</v>
      </c>
      <c r="Q89" s="28">
        <f t="shared" si="11"/>
        <v>3965499.9999999995</v>
      </c>
      <c r="R89" s="44">
        <v>1</v>
      </c>
      <c r="S89" s="30">
        <v>45603249.999999993</v>
      </c>
      <c r="T89" s="31" t="s">
        <v>318</v>
      </c>
      <c r="U89" s="46" t="s">
        <v>68</v>
      </c>
      <c r="V89" s="46" t="s">
        <v>308</v>
      </c>
      <c r="W89" s="53">
        <v>11.5</v>
      </c>
      <c r="X89" s="34">
        <v>31</v>
      </c>
      <c r="Y89" s="47">
        <v>43102</v>
      </c>
      <c r="Z89" s="54">
        <v>45603249.999999993</v>
      </c>
      <c r="AA89" s="37"/>
      <c r="AB89" s="37">
        <v>34</v>
      </c>
      <c r="AC89" s="50">
        <v>43103</v>
      </c>
      <c r="AD89" s="39">
        <v>45603249.999999993</v>
      </c>
      <c r="AE89" s="39">
        <f t="shared" si="12"/>
        <v>0</v>
      </c>
      <c r="AF89" s="34">
        <v>186</v>
      </c>
      <c r="AG89" s="51">
        <v>43118</v>
      </c>
      <c r="AH89" s="39">
        <v>45603249.999999993</v>
      </c>
      <c r="AI89" s="18" t="s">
        <v>372</v>
      </c>
      <c r="AJ89" s="18">
        <v>149</v>
      </c>
      <c r="AK89" s="39">
        <f t="shared" si="7"/>
        <v>0</v>
      </c>
      <c r="AL89" s="39">
        <v>9120650</v>
      </c>
      <c r="AM89" s="39">
        <f t="shared" si="8"/>
        <v>36482599.999999993</v>
      </c>
      <c r="AN89" s="34"/>
      <c r="AO89" s="41">
        <f t="shared" si="9"/>
        <v>0</v>
      </c>
      <c r="AP89" s="34"/>
      <c r="AQ89" s="52">
        <v>43102</v>
      </c>
      <c r="AR89" s="24" t="s">
        <v>312</v>
      </c>
      <c r="AS89" s="52">
        <v>43102</v>
      </c>
      <c r="AT89" s="24" t="s">
        <v>313</v>
      </c>
    </row>
    <row r="90" spans="1:46" ht="114.75" x14ac:dyDescent="0.25">
      <c r="A90" s="18">
        <f t="shared" si="13"/>
        <v>85</v>
      </c>
      <c r="B90" s="19" t="str">
        <f t="shared" si="10"/>
        <v>208-85</v>
      </c>
      <c r="C90" s="20" t="s">
        <v>285</v>
      </c>
      <c r="D90" s="21" t="s">
        <v>286</v>
      </c>
      <c r="E90" s="22" t="s">
        <v>287</v>
      </c>
      <c r="F90" s="25" t="s">
        <v>53</v>
      </c>
      <c r="G90" s="42" t="s">
        <v>54</v>
      </c>
      <c r="H90" s="25" t="s">
        <v>305</v>
      </c>
      <c r="I90" s="25" t="s">
        <v>56</v>
      </c>
      <c r="J90" s="25" t="s">
        <v>57</v>
      </c>
      <c r="K90" s="18">
        <v>801116</v>
      </c>
      <c r="L90" s="25" t="s">
        <v>58</v>
      </c>
      <c r="M90" s="25" t="s">
        <v>59</v>
      </c>
      <c r="N90" s="25" t="s">
        <v>60</v>
      </c>
      <c r="O90" s="25" t="s">
        <v>299</v>
      </c>
      <c r="P90" s="43" t="s">
        <v>367</v>
      </c>
      <c r="Q90" s="28">
        <f t="shared" si="11"/>
        <v>1699500</v>
      </c>
      <c r="R90" s="44">
        <v>1</v>
      </c>
      <c r="S90" s="30">
        <v>19544250</v>
      </c>
      <c r="T90" s="31" t="s">
        <v>318</v>
      </c>
      <c r="U90" s="46" t="s">
        <v>68</v>
      </c>
      <c r="V90" s="46" t="s">
        <v>308</v>
      </c>
      <c r="W90" s="53">
        <v>11.5</v>
      </c>
      <c r="X90" s="34">
        <v>30</v>
      </c>
      <c r="Y90" s="47">
        <v>43102</v>
      </c>
      <c r="Z90" s="54">
        <v>19544250</v>
      </c>
      <c r="AA90" s="37"/>
      <c r="AB90" s="37">
        <v>33</v>
      </c>
      <c r="AC90" s="50">
        <v>43102</v>
      </c>
      <c r="AD90" s="39">
        <v>19544250</v>
      </c>
      <c r="AE90" s="39">
        <f t="shared" si="12"/>
        <v>0</v>
      </c>
      <c r="AF90" s="34">
        <v>173</v>
      </c>
      <c r="AG90" s="51">
        <v>43118</v>
      </c>
      <c r="AH90" s="39">
        <v>19544250</v>
      </c>
      <c r="AI90" s="18" t="s">
        <v>373</v>
      </c>
      <c r="AJ90" s="18">
        <v>138</v>
      </c>
      <c r="AK90" s="39">
        <f t="shared" si="7"/>
        <v>0</v>
      </c>
      <c r="AL90" s="39">
        <v>4135449.9</v>
      </c>
      <c r="AM90" s="39">
        <f t="shared" si="8"/>
        <v>15408800.1</v>
      </c>
      <c r="AN90" s="34"/>
      <c r="AO90" s="41">
        <f t="shared" si="9"/>
        <v>0</v>
      </c>
      <c r="AP90" s="34"/>
      <c r="AQ90" s="52">
        <v>43102</v>
      </c>
      <c r="AR90" s="24" t="s">
        <v>312</v>
      </c>
      <c r="AS90" s="52">
        <v>43102</v>
      </c>
      <c r="AT90" s="24" t="s">
        <v>313</v>
      </c>
    </row>
    <row r="91" spans="1:46" ht="102" x14ac:dyDescent="0.25">
      <c r="A91" s="18">
        <f t="shared" si="13"/>
        <v>86</v>
      </c>
      <c r="B91" s="19" t="str">
        <f t="shared" si="10"/>
        <v>208-86</v>
      </c>
      <c r="C91" s="20" t="s">
        <v>285</v>
      </c>
      <c r="D91" s="21" t="s">
        <v>286</v>
      </c>
      <c r="E91" s="42" t="s">
        <v>295</v>
      </c>
      <c r="F91" s="25" t="s">
        <v>53</v>
      </c>
      <c r="G91" s="42" t="s">
        <v>54</v>
      </c>
      <c r="H91" s="25" t="s">
        <v>305</v>
      </c>
      <c r="I91" s="25" t="s">
        <v>56</v>
      </c>
      <c r="J91" s="25" t="s">
        <v>57</v>
      </c>
      <c r="K91" s="18">
        <v>801116</v>
      </c>
      <c r="L91" s="25" t="s">
        <v>58</v>
      </c>
      <c r="M91" s="25" t="s">
        <v>59</v>
      </c>
      <c r="N91" s="25" t="s">
        <v>60</v>
      </c>
      <c r="O91" s="25" t="s">
        <v>299</v>
      </c>
      <c r="P91" s="43" t="s">
        <v>367</v>
      </c>
      <c r="Q91" s="28">
        <f t="shared" si="11"/>
        <v>3965499.9999999995</v>
      </c>
      <c r="R91" s="44">
        <v>1</v>
      </c>
      <c r="S91" s="30">
        <v>45603249.999999993</v>
      </c>
      <c r="T91" s="31" t="s">
        <v>318</v>
      </c>
      <c r="U91" s="46" t="s">
        <v>68</v>
      </c>
      <c r="V91" s="46" t="s">
        <v>308</v>
      </c>
      <c r="W91" s="53">
        <v>11.5</v>
      </c>
      <c r="X91" s="34">
        <v>29</v>
      </c>
      <c r="Y91" s="47">
        <v>43102</v>
      </c>
      <c r="Z91" s="54">
        <v>45603249.999999993</v>
      </c>
      <c r="AA91" s="37"/>
      <c r="AB91" s="37">
        <v>33</v>
      </c>
      <c r="AC91" s="50">
        <v>43102</v>
      </c>
      <c r="AD91" s="39">
        <v>45603249.999999993</v>
      </c>
      <c r="AE91" s="39">
        <f t="shared" si="12"/>
        <v>0</v>
      </c>
      <c r="AF91" s="34">
        <v>173</v>
      </c>
      <c r="AG91" s="51">
        <v>43118</v>
      </c>
      <c r="AH91" s="39">
        <v>45603249.999999993</v>
      </c>
      <c r="AI91" s="18" t="s">
        <v>373</v>
      </c>
      <c r="AJ91" s="18">
        <v>138</v>
      </c>
      <c r="AK91" s="39">
        <f t="shared" si="7"/>
        <v>0</v>
      </c>
      <c r="AL91" s="39">
        <v>9649383.0999999996</v>
      </c>
      <c r="AM91" s="39">
        <f t="shared" si="8"/>
        <v>35953866.899999991</v>
      </c>
      <c r="AN91" s="34"/>
      <c r="AO91" s="41">
        <f t="shared" si="9"/>
        <v>0</v>
      </c>
      <c r="AP91" s="34"/>
      <c r="AQ91" s="52">
        <v>43102</v>
      </c>
      <c r="AR91" s="24" t="s">
        <v>312</v>
      </c>
      <c r="AS91" s="52">
        <v>43102</v>
      </c>
      <c r="AT91" s="24" t="s">
        <v>313</v>
      </c>
    </row>
    <row r="92" spans="1:46" ht="114.75" x14ac:dyDescent="0.25">
      <c r="A92" s="18">
        <f t="shared" si="13"/>
        <v>87</v>
      </c>
      <c r="B92" s="19" t="str">
        <f t="shared" si="10"/>
        <v>208-87</v>
      </c>
      <c r="C92" s="20" t="s">
        <v>285</v>
      </c>
      <c r="D92" s="21" t="s">
        <v>286</v>
      </c>
      <c r="E92" s="22" t="s">
        <v>287</v>
      </c>
      <c r="F92" s="25" t="s">
        <v>53</v>
      </c>
      <c r="G92" s="42" t="s">
        <v>54</v>
      </c>
      <c r="H92" s="25" t="s">
        <v>305</v>
      </c>
      <c r="I92" s="25" t="s">
        <v>56</v>
      </c>
      <c r="J92" s="25" t="s">
        <v>57</v>
      </c>
      <c r="K92" s="18">
        <v>801116</v>
      </c>
      <c r="L92" s="25" t="s">
        <v>58</v>
      </c>
      <c r="M92" s="25" t="s">
        <v>59</v>
      </c>
      <c r="N92" s="25" t="s">
        <v>60</v>
      </c>
      <c r="O92" s="25" t="s">
        <v>299</v>
      </c>
      <c r="P92" s="43" t="s">
        <v>374</v>
      </c>
      <c r="Q92" s="28">
        <f t="shared" si="11"/>
        <v>2008500</v>
      </c>
      <c r="R92" s="44">
        <v>1</v>
      </c>
      <c r="S92" s="30">
        <f>17376615+4716885</f>
        <v>22093500</v>
      </c>
      <c r="T92" s="31" t="s">
        <v>318</v>
      </c>
      <c r="U92" s="46" t="s">
        <v>68</v>
      </c>
      <c r="V92" s="46" t="s">
        <v>308</v>
      </c>
      <c r="W92" s="53">
        <v>11</v>
      </c>
      <c r="X92" s="34" t="s">
        <v>375</v>
      </c>
      <c r="Y92" s="47">
        <v>43123</v>
      </c>
      <c r="Z92" s="54">
        <v>22093500</v>
      </c>
      <c r="AA92" s="37"/>
      <c r="AB92" s="37">
        <v>559</v>
      </c>
      <c r="AC92" s="50">
        <v>43123</v>
      </c>
      <c r="AD92" s="30">
        <f>17376615+4716885</f>
        <v>22093500</v>
      </c>
      <c r="AE92" s="39">
        <f t="shared" si="12"/>
        <v>0</v>
      </c>
      <c r="AF92" s="34">
        <v>483</v>
      </c>
      <c r="AG92" s="51">
        <v>43126</v>
      </c>
      <c r="AH92" s="30">
        <f>17376615+4716885</f>
        <v>22093500</v>
      </c>
      <c r="AI92" s="18" t="s">
        <v>376</v>
      </c>
      <c r="AJ92" s="18">
        <v>405</v>
      </c>
      <c r="AK92" s="39">
        <f t="shared" si="7"/>
        <v>0</v>
      </c>
      <c r="AL92" s="39">
        <v>4150899.9</v>
      </c>
      <c r="AM92" s="39">
        <f t="shared" si="8"/>
        <v>17942600.100000001</v>
      </c>
      <c r="AN92" s="34"/>
      <c r="AO92" s="41">
        <f t="shared" si="9"/>
        <v>0</v>
      </c>
      <c r="AP92" s="34"/>
      <c r="AQ92" s="52">
        <v>43123</v>
      </c>
      <c r="AR92" s="24" t="s">
        <v>312</v>
      </c>
      <c r="AS92" s="52">
        <v>43123</v>
      </c>
      <c r="AT92" s="24" t="s">
        <v>313</v>
      </c>
    </row>
    <row r="93" spans="1:46" ht="102" x14ac:dyDescent="0.25">
      <c r="A93" s="18">
        <f t="shared" si="13"/>
        <v>88</v>
      </c>
      <c r="B93" s="19" t="str">
        <f t="shared" si="10"/>
        <v>208-88</v>
      </c>
      <c r="C93" s="20" t="s">
        <v>285</v>
      </c>
      <c r="D93" s="21" t="s">
        <v>286</v>
      </c>
      <c r="E93" s="42" t="s">
        <v>295</v>
      </c>
      <c r="F93" s="25" t="s">
        <v>53</v>
      </c>
      <c r="G93" s="42" t="s">
        <v>54</v>
      </c>
      <c r="H93" s="25" t="s">
        <v>305</v>
      </c>
      <c r="I93" s="25" t="s">
        <v>56</v>
      </c>
      <c r="J93" s="25" t="s">
        <v>57</v>
      </c>
      <c r="K93" s="18">
        <v>801116</v>
      </c>
      <c r="L93" s="25" t="s">
        <v>58</v>
      </c>
      <c r="M93" s="25" t="s">
        <v>59</v>
      </c>
      <c r="N93" s="25" t="s">
        <v>60</v>
      </c>
      <c r="O93" s="25" t="s">
        <v>299</v>
      </c>
      <c r="P93" s="43" t="s">
        <v>374</v>
      </c>
      <c r="Q93" s="28">
        <f t="shared" si="11"/>
        <v>4686500</v>
      </c>
      <c r="R93" s="44">
        <v>1</v>
      </c>
      <c r="S93" s="30">
        <f>40545435+11006065</f>
        <v>51551500</v>
      </c>
      <c r="T93" s="31" t="s">
        <v>318</v>
      </c>
      <c r="U93" s="46" t="s">
        <v>68</v>
      </c>
      <c r="V93" s="46" t="s">
        <v>308</v>
      </c>
      <c r="W93" s="53">
        <v>11</v>
      </c>
      <c r="X93" s="34" t="s">
        <v>377</v>
      </c>
      <c r="Y93" s="47">
        <v>43123</v>
      </c>
      <c r="Z93" s="54">
        <v>51551500</v>
      </c>
      <c r="AA93" s="37"/>
      <c r="AB93" s="37">
        <v>559</v>
      </c>
      <c r="AC93" s="50">
        <v>43123</v>
      </c>
      <c r="AD93" s="30">
        <f>40545435+11006065</f>
        <v>51551500</v>
      </c>
      <c r="AE93" s="39">
        <f t="shared" si="12"/>
        <v>0</v>
      </c>
      <c r="AF93" s="34">
        <v>483</v>
      </c>
      <c r="AG93" s="51">
        <v>43126</v>
      </c>
      <c r="AH93" s="30">
        <f>40545435+11006065</f>
        <v>51551500</v>
      </c>
      <c r="AI93" s="18" t="s">
        <v>376</v>
      </c>
      <c r="AJ93" s="18">
        <v>405</v>
      </c>
      <c r="AK93" s="39">
        <f t="shared" si="7"/>
        <v>0</v>
      </c>
      <c r="AL93" s="39">
        <v>9685433.0999999996</v>
      </c>
      <c r="AM93" s="39">
        <f t="shared" si="8"/>
        <v>41866066.899999999</v>
      </c>
      <c r="AN93" s="34"/>
      <c r="AO93" s="41">
        <f t="shared" si="9"/>
        <v>0</v>
      </c>
      <c r="AP93" s="34"/>
      <c r="AQ93" s="52">
        <v>43123</v>
      </c>
      <c r="AR93" s="24" t="s">
        <v>312</v>
      </c>
      <c r="AS93" s="52">
        <v>43123</v>
      </c>
      <c r="AT93" s="24" t="s">
        <v>313</v>
      </c>
    </row>
    <row r="94" spans="1:46" ht="114.75" x14ac:dyDescent="0.25">
      <c r="A94" s="18">
        <f t="shared" si="13"/>
        <v>89</v>
      </c>
      <c r="B94" s="19" t="str">
        <f t="shared" si="10"/>
        <v>208-89</v>
      </c>
      <c r="C94" s="20" t="s">
        <v>285</v>
      </c>
      <c r="D94" s="21" t="s">
        <v>286</v>
      </c>
      <c r="E94" s="22" t="s">
        <v>287</v>
      </c>
      <c r="F94" s="25" t="s">
        <v>53</v>
      </c>
      <c r="G94" s="42" t="s">
        <v>54</v>
      </c>
      <c r="H94" s="25" t="s">
        <v>305</v>
      </c>
      <c r="I94" s="25" t="s">
        <v>56</v>
      </c>
      <c r="J94" s="25" t="s">
        <v>57</v>
      </c>
      <c r="K94" s="18">
        <v>801116</v>
      </c>
      <c r="L94" s="25" t="s">
        <v>58</v>
      </c>
      <c r="M94" s="25" t="s">
        <v>59</v>
      </c>
      <c r="N94" s="25" t="s">
        <v>60</v>
      </c>
      <c r="O94" s="25" t="s">
        <v>299</v>
      </c>
      <c r="P94" s="43" t="s">
        <v>378</v>
      </c>
      <c r="Q94" s="28">
        <f t="shared" si="11"/>
        <v>998070</v>
      </c>
      <c r="R94" s="44">
        <v>1</v>
      </c>
      <c r="S94" s="30">
        <f>14214000-2736195</f>
        <v>11477805</v>
      </c>
      <c r="T94" s="31" t="s">
        <v>318</v>
      </c>
      <c r="U94" s="46" t="s">
        <v>68</v>
      </c>
      <c r="V94" s="46" t="s">
        <v>308</v>
      </c>
      <c r="W94" s="53">
        <v>11.5</v>
      </c>
      <c r="X94" s="34" t="s">
        <v>379</v>
      </c>
      <c r="Y94" s="51">
        <v>43115</v>
      </c>
      <c r="Z94" s="54">
        <v>11477805</v>
      </c>
      <c r="AA94" s="37"/>
      <c r="AB94" s="37">
        <v>509</v>
      </c>
      <c r="AC94" s="50">
        <v>43116</v>
      </c>
      <c r="AD94" s="39">
        <f>14214000-2736195</f>
        <v>11477805</v>
      </c>
      <c r="AE94" s="39">
        <f t="shared" si="12"/>
        <v>0</v>
      </c>
      <c r="AF94" s="34">
        <v>260</v>
      </c>
      <c r="AG94" s="51">
        <v>43119</v>
      </c>
      <c r="AH94" s="39">
        <f>14214000-2736195</f>
        <v>11477805</v>
      </c>
      <c r="AI94" s="18" t="s">
        <v>380</v>
      </c>
      <c r="AJ94" s="18">
        <v>234</v>
      </c>
      <c r="AK94" s="39">
        <f t="shared" si="7"/>
        <v>0</v>
      </c>
      <c r="AL94" s="39">
        <v>2262291.9</v>
      </c>
      <c r="AM94" s="39">
        <f t="shared" si="8"/>
        <v>9215513.0999999996</v>
      </c>
      <c r="AN94" s="34"/>
      <c r="AO94" s="41">
        <f t="shared" si="9"/>
        <v>0</v>
      </c>
      <c r="AP94" s="34"/>
      <c r="AQ94" s="52"/>
      <c r="AR94" s="24"/>
      <c r="AS94" s="52"/>
      <c r="AT94" s="24"/>
    </row>
    <row r="95" spans="1:46" ht="102" x14ac:dyDescent="0.25">
      <c r="A95" s="18">
        <f t="shared" si="13"/>
        <v>90</v>
      </c>
      <c r="B95" s="19" t="str">
        <f t="shared" si="10"/>
        <v>208-90</v>
      </c>
      <c r="C95" s="20" t="s">
        <v>285</v>
      </c>
      <c r="D95" s="21" t="s">
        <v>286</v>
      </c>
      <c r="E95" s="42" t="s">
        <v>295</v>
      </c>
      <c r="F95" s="25" t="s">
        <v>53</v>
      </c>
      <c r="G95" s="42" t="s">
        <v>54</v>
      </c>
      <c r="H95" s="25" t="s">
        <v>305</v>
      </c>
      <c r="I95" s="25" t="s">
        <v>56</v>
      </c>
      <c r="J95" s="25" t="s">
        <v>57</v>
      </c>
      <c r="K95" s="18">
        <v>801116</v>
      </c>
      <c r="L95" s="25" t="s">
        <v>58</v>
      </c>
      <c r="M95" s="25" t="s">
        <v>59</v>
      </c>
      <c r="N95" s="25" t="s">
        <v>60</v>
      </c>
      <c r="O95" s="25" t="s">
        <v>299</v>
      </c>
      <c r="P95" s="43" t="s">
        <v>378</v>
      </c>
      <c r="Q95" s="28">
        <f t="shared" si="11"/>
        <v>2328830</v>
      </c>
      <c r="R95" s="44">
        <v>1</v>
      </c>
      <c r="S95" s="30">
        <f>33166000-6384455</f>
        <v>26781545</v>
      </c>
      <c r="T95" s="31" t="s">
        <v>318</v>
      </c>
      <c r="U95" s="46" t="s">
        <v>68</v>
      </c>
      <c r="V95" s="46" t="s">
        <v>308</v>
      </c>
      <c r="W95" s="53">
        <v>11.5</v>
      </c>
      <c r="X95" s="34" t="s">
        <v>381</v>
      </c>
      <c r="Y95" s="51">
        <v>43115</v>
      </c>
      <c r="Z95" s="54">
        <v>26781545</v>
      </c>
      <c r="AA95" s="37"/>
      <c r="AB95" s="37">
        <v>509</v>
      </c>
      <c r="AC95" s="50">
        <v>43116</v>
      </c>
      <c r="AD95" s="39">
        <f>33166000-6384455</f>
        <v>26781545</v>
      </c>
      <c r="AE95" s="39">
        <f t="shared" si="12"/>
        <v>0</v>
      </c>
      <c r="AF95" s="34">
        <v>260</v>
      </c>
      <c r="AG95" s="51">
        <v>43119</v>
      </c>
      <c r="AH95" s="39">
        <f>33166000-6384455</f>
        <v>26781545</v>
      </c>
      <c r="AI95" s="18" t="s">
        <v>380</v>
      </c>
      <c r="AJ95" s="18">
        <v>234</v>
      </c>
      <c r="AK95" s="39">
        <f t="shared" si="7"/>
        <v>0</v>
      </c>
      <c r="AL95" s="39">
        <v>5278681.0999999996</v>
      </c>
      <c r="AM95" s="39">
        <f t="shared" si="8"/>
        <v>21502863.899999999</v>
      </c>
      <c r="AN95" s="34"/>
      <c r="AO95" s="41">
        <f t="shared" si="9"/>
        <v>0</v>
      </c>
      <c r="AP95" s="34"/>
      <c r="AQ95" s="52"/>
      <c r="AR95" s="24"/>
      <c r="AS95" s="52"/>
      <c r="AT95" s="24"/>
    </row>
    <row r="96" spans="1:46" ht="114.75" x14ac:dyDescent="0.25">
      <c r="A96" s="18">
        <f t="shared" si="13"/>
        <v>91</v>
      </c>
      <c r="B96" s="19" t="str">
        <f t="shared" si="10"/>
        <v>208-91</v>
      </c>
      <c r="C96" s="20" t="s">
        <v>285</v>
      </c>
      <c r="D96" s="21" t="s">
        <v>286</v>
      </c>
      <c r="E96" s="22" t="s">
        <v>287</v>
      </c>
      <c r="F96" s="25" t="s">
        <v>53</v>
      </c>
      <c r="G96" s="42" t="s">
        <v>54</v>
      </c>
      <c r="H96" s="25" t="s">
        <v>305</v>
      </c>
      <c r="I96" s="25" t="s">
        <v>56</v>
      </c>
      <c r="J96" s="25" t="s">
        <v>57</v>
      </c>
      <c r="K96" s="18">
        <v>801116</v>
      </c>
      <c r="L96" s="25" t="s">
        <v>58</v>
      </c>
      <c r="M96" s="25" t="s">
        <v>59</v>
      </c>
      <c r="N96" s="25" t="s">
        <v>60</v>
      </c>
      <c r="O96" s="25" t="s">
        <v>299</v>
      </c>
      <c r="P96" s="43" t="s">
        <v>367</v>
      </c>
      <c r="Q96" s="28">
        <f t="shared" si="11"/>
        <v>1575900</v>
      </c>
      <c r="R96" s="44">
        <v>1</v>
      </c>
      <c r="S96" s="30">
        <v>18122850</v>
      </c>
      <c r="T96" s="31" t="s">
        <v>318</v>
      </c>
      <c r="U96" s="46" t="s">
        <v>68</v>
      </c>
      <c r="V96" s="46" t="s">
        <v>308</v>
      </c>
      <c r="W96" s="53">
        <v>11.5</v>
      </c>
      <c r="X96" s="34">
        <v>24</v>
      </c>
      <c r="Y96" s="47">
        <v>43102</v>
      </c>
      <c r="Z96" s="54">
        <v>18122850</v>
      </c>
      <c r="AA96" s="37"/>
      <c r="AB96" s="37">
        <v>30</v>
      </c>
      <c r="AC96" s="50">
        <v>43102</v>
      </c>
      <c r="AD96" s="39">
        <v>18122850</v>
      </c>
      <c r="AE96" s="39">
        <f t="shared" si="12"/>
        <v>0</v>
      </c>
      <c r="AF96" s="34">
        <v>11</v>
      </c>
      <c r="AG96" s="51">
        <v>43112</v>
      </c>
      <c r="AH96" s="39">
        <v>18122850</v>
      </c>
      <c r="AI96" s="18" t="s">
        <v>382</v>
      </c>
      <c r="AJ96" s="18">
        <v>14</v>
      </c>
      <c r="AK96" s="39">
        <f t="shared" si="7"/>
        <v>0</v>
      </c>
      <c r="AL96" s="39">
        <v>3939750</v>
      </c>
      <c r="AM96" s="39">
        <f t="shared" si="8"/>
        <v>14183100</v>
      </c>
      <c r="AN96" s="34"/>
      <c r="AO96" s="41">
        <f t="shared" si="9"/>
        <v>0</v>
      </c>
      <c r="AP96" s="34"/>
      <c r="AQ96" s="52">
        <v>43102</v>
      </c>
      <c r="AR96" s="24" t="s">
        <v>312</v>
      </c>
      <c r="AS96" s="52">
        <v>43102</v>
      </c>
      <c r="AT96" s="24" t="s">
        <v>313</v>
      </c>
    </row>
    <row r="97" spans="1:46" ht="102" x14ac:dyDescent="0.25">
      <c r="A97" s="18">
        <f t="shared" si="13"/>
        <v>92</v>
      </c>
      <c r="B97" s="19" t="str">
        <f t="shared" si="10"/>
        <v>208-92</v>
      </c>
      <c r="C97" s="20" t="s">
        <v>285</v>
      </c>
      <c r="D97" s="21" t="s">
        <v>286</v>
      </c>
      <c r="E97" s="42" t="s">
        <v>295</v>
      </c>
      <c r="F97" s="25" t="s">
        <v>53</v>
      </c>
      <c r="G97" s="42" t="s">
        <v>54</v>
      </c>
      <c r="H97" s="25" t="s">
        <v>305</v>
      </c>
      <c r="I97" s="25" t="s">
        <v>56</v>
      </c>
      <c r="J97" s="25" t="s">
        <v>57</v>
      </c>
      <c r="K97" s="18">
        <v>801116</v>
      </c>
      <c r="L97" s="25" t="s">
        <v>58</v>
      </c>
      <c r="M97" s="25" t="s">
        <v>59</v>
      </c>
      <c r="N97" s="25" t="s">
        <v>60</v>
      </c>
      <c r="O97" s="25" t="s">
        <v>299</v>
      </c>
      <c r="P97" s="43" t="s">
        <v>367</v>
      </c>
      <c r="Q97" s="28">
        <f t="shared" si="11"/>
        <v>3677099.9999999995</v>
      </c>
      <c r="R97" s="44">
        <v>1</v>
      </c>
      <c r="S97" s="30">
        <v>42286649.999999993</v>
      </c>
      <c r="T97" s="31" t="s">
        <v>318</v>
      </c>
      <c r="U97" s="46" t="s">
        <v>68</v>
      </c>
      <c r="V97" s="46" t="s">
        <v>308</v>
      </c>
      <c r="W97" s="53">
        <v>11.5</v>
      </c>
      <c r="X97" s="34">
        <v>23</v>
      </c>
      <c r="Y97" s="47">
        <v>43102</v>
      </c>
      <c r="Z97" s="54">
        <v>42286649.999999993</v>
      </c>
      <c r="AA97" s="37"/>
      <c r="AB97" s="37">
        <v>30</v>
      </c>
      <c r="AC97" s="50">
        <v>43102</v>
      </c>
      <c r="AD97" s="39">
        <v>42286649.999999993</v>
      </c>
      <c r="AE97" s="39">
        <f t="shared" si="12"/>
        <v>0</v>
      </c>
      <c r="AF97" s="34">
        <v>11</v>
      </c>
      <c r="AG97" s="51">
        <v>43112</v>
      </c>
      <c r="AH97" s="39">
        <v>42286649.999999993</v>
      </c>
      <c r="AI97" s="18" t="s">
        <v>382</v>
      </c>
      <c r="AJ97" s="18">
        <v>14</v>
      </c>
      <c r="AK97" s="39">
        <f t="shared" si="7"/>
        <v>0</v>
      </c>
      <c r="AL97" s="39">
        <v>9192750</v>
      </c>
      <c r="AM97" s="39">
        <f t="shared" si="8"/>
        <v>33093899.999999993</v>
      </c>
      <c r="AN97" s="34"/>
      <c r="AO97" s="41">
        <f t="shared" si="9"/>
        <v>0</v>
      </c>
      <c r="AP97" s="34"/>
      <c r="AQ97" s="52">
        <v>43102</v>
      </c>
      <c r="AR97" s="24" t="s">
        <v>312</v>
      </c>
      <c r="AS97" s="52">
        <v>43102</v>
      </c>
      <c r="AT97" s="24" t="s">
        <v>313</v>
      </c>
    </row>
    <row r="98" spans="1:46" ht="114.75" x14ac:dyDescent="0.25">
      <c r="A98" s="18">
        <f t="shared" si="13"/>
        <v>93</v>
      </c>
      <c r="B98" s="19" t="str">
        <f t="shared" si="10"/>
        <v>208-93</v>
      </c>
      <c r="C98" s="20" t="s">
        <v>285</v>
      </c>
      <c r="D98" s="21" t="s">
        <v>286</v>
      </c>
      <c r="E98" s="22" t="s">
        <v>287</v>
      </c>
      <c r="F98" s="25" t="s">
        <v>53</v>
      </c>
      <c r="G98" s="42" t="s">
        <v>54</v>
      </c>
      <c r="H98" s="25" t="s">
        <v>305</v>
      </c>
      <c r="I98" s="25" t="s">
        <v>56</v>
      </c>
      <c r="J98" s="25" t="s">
        <v>57</v>
      </c>
      <c r="K98" s="18">
        <v>801116</v>
      </c>
      <c r="L98" s="25" t="s">
        <v>58</v>
      </c>
      <c r="M98" s="25" t="s">
        <v>59</v>
      </c>
      <c r="N98" s="25" t="s">
        <v>60</v>
      </c>
      <c r="O98" s="25" t="s">
        <v>299</v>
      </c>
      <c r="P98" s="43" t="s">
        <v>367</v>
      </c>
      <c r="Q98" s="28">
        <f t="shared" si="11"/>
        <v>1511010</v>
      </c>
      <c r="R98" s="44">
        <v>1</v>
      </c>
      <c r="S98" s="30">
        <v>17376615</v>
      </c>
      <c r="T98" s="31" t="s">
        <v>318</v>
      </c>
      <c r="U98" s="46" t="s">
        <v>68</v>
      </c>
      <c r="V98" s="46" t="s">
        <v>308</v>
      </c>
      <c r="W98" s="53">
        <v>11.5</v>
      </c>
      <c r="X98" s="34">
        <v>22</v>
      </c>
      <c r="Y98" s="47">
        <v>43102</v>
      </c>
      <c r="Z98" s="54">
        <v>17376615</v>
      </c>
      <c r="AA98" s="37"/>
      <c r="AB98" s="37">
        <v>32</v>
      </c>
      <c r="AC98" s="50">
        <v>43102</v>
      </c>
      <c r="AD98" s="30">
        <v>17376615</v>
      </c>
      <c r="AE98" s="39">
        <f t="shared" si="12"/>
        <v>0</v>
      </c>
      <c r="AF98" s="34">
        <v>504</v>
      </c>
      <c r="AG98" s="51">
        <v>43126</v>
      </c>
      <c r="AH98" s="30">
        <v>17376615</v>
      </c>
      <c r="AI98" s="18" t="s">
        <v>383</v>
      </c>
      <c r="AJ98" s="18">
        <v>414</v>
      </c>
      <c r="AK98" s="39">
        <f t="shared" si="7"/>
        <v>0</v>
      </c>
      <c r="AL98" s="39">
        <v>3122754</v>
      </c>
      <c r="AM98" s="39">
        <f t="shared" si="8"/>
        <v>14253861</v>
      </c>
      <c r="AN98" s="34"/>
      <c r="AO98" s="41">
        <f t="shared" si="9"/>
        <v>0</v>
      </c>
      <c r="AP98" s="34"/>
      <c r="AQ98" s="52">
        <v>43102</v>
      </c>
      <c r="AR98" s="24" t="s">
        <v>312</v>
      </c>
      <c r="AS98" s="52">
        <v>43102</v>
      </c>
      <c r="AT98" s="24" t="s">
        <v>313</v>
      </c>
    </row>
    <row r="99" spans="1:46" ht="102" x14ac:dyDescent="0.25">
      <c r="A99" s="18">
        <f t="shared" si="13"/>
        <v>94</v>
      </c>
      <c r="B99" s="19" t="str">
        <f t="shared" si="10"/>
        <v>208-94</v>
      </c>
      <c r="C99" s="20" t="s">
        <v>285</v>
      </c>
      <c r="D99" s="21" t="s">
        <v>286</v>
      </c>
      <c r="E99" s="42" t="s">
        <v>295</v>
      </c>
      <c r="F99" s="25" t="s">
        <v>53</v>
      </c>
      <c r="G99" s="42" t="s">
        <v>54</v>
      </c>
      <c r="H99" s="25" t="s">
        <v>305</v>
      </c>
      <c r="I99" s="25" t="s">
        <v>56</v>
      </c>
      <c r="J99" s="25" t="s">
        <v>57</v>
      </c>
      <c r="K99" s="18">
        <v>801116</v>
      </c>
      <c r="L99" s="25" t="s">
        <v>58</v>
      </c>
      <c r="M99" s="25" t="s">
        <v>59</v>
      </c>
      <c r="N99" s="25" t="s">
        <v>60</v>
      </c>
      <c r="O99" s="25" t="s">
        <v>299</v>
      </c>
      <c r="P99" s="43" t="s">
        <v>367</v>
      </c>
      <c r="Q99" s="28">
        <f t="shared" si="11"/>
        <v>3525690</v>
      </c>
      <c r="R99" s="44">
        <v>1</v>
      </c>
      <c r="S99" s="30">
        <v>40545435</v>
      </c>
      <c r="T99" s="31" t="s">
        <v>318</v>
      </c>
      <c r="U99" s="46" t="s">
        <v>68</v>
      </c>
      <c r="V99" s="46" t="s">
        <v>308</v>
      </c>
      <c r="W99" s="53">
        <v>11.5</v>
      </c>
      <c r="X99" s="34">
        <v>21</v>
      </c>
      <c r="Y99" s="47">
        <v>43102</v>
      </c>
      <c r="Z99" s="54">
        <v>40545435</v>
      </c>
      <c r="AA99" s="37"/>
      <c r="AB99" s="37">
        <v>32</v>
      </c>
      <c r="AC99" s="50">
        <v>43102</v>
      </c>
      <c r="AD99" s="30">
        <v>40545435</v>
      </c>
      <c r="AE99" s="39">
        <f t="shared" si="12"/>
        <v>0</v>
      </c>
      <c r="AF99" s="34">
        <v>504</v>
      </c>
      <c r="AG99" s="51">
        <v>43126</v>
      </c>
      <c r="AH99" s="30">
        <v>40545435</v>
      </c>
      <c r="AI99" s="18" t="s">
        <v>383</v>
      </c>
      <c r="AJ99" s="18">
        <v>414</v>
      </c>
      <c r="AK99" s="39">
        <f t="shared" si="7"/>
        <v>0</v>
      </c>
      <c r="AL99" s="39">
        <v>7286426</v>
      </c>
      <c r="AM99" s="39">
        <f t="shared" si="8"/>
        <v>33259009</v>
      </c>
      <c r="AN99" s="34"/>
      <c r="AO99" s="41">
        <f t="shared" si="9"/>
        <v>0</v>
      </c>
      <c r="AP99" s="34"/>
      <c r="AQ99" s="52">
        <v>43102</v>
      </c>
      <c r="AR99" s="24" t="s">
        <v>312</v>
      </c>
      <c r="AS99" s="52">
        <v>43102</v>
      </c>
      <c r="AT99" s="24" t="s">
        <v>313</v>
      </c>
    </row>
    <row r="100" spans="1:46" ht="114.75" x14ac:dyDescent="0.25">
      <c r="A100" s="18">
        <f t="shared" si="13"/>
        <v>95</v>
      </c>
      <c r="B100" s="19" t="str">
        <f t="shared" si="10"/>
        <v>208-95</v>
      </c>
      <c r="C100" s="20" t="s">
        <v>285</v>
      </c>
      <c r="D100" s="21" t="s">
        <v>286</v>
      </c>
      <c r="E100" s="22" t="s">
        <v>287</v>
      </c>
      <c r="F100" s="25" t="s">
        <v>53</v>
      </c>
      <c r="G100" s="42" t="s">
        <v>54</v>
      </c>
      <c r="H100" s="25" t="s">
        <v>305</v>
      </c>
      <c r="I100" s="25" t="s">
        <v>56</v>
      </c>
      <c r="J100" s="25" t="s">
        <v>57</v>
      </c>
      <c r="K100" s="18">
        <v>801116</v>
      </c>
      <c r="L100" s="25" t="s">
        <v>58</v>
      </c>
      <c r="M100" s="25" t="s">
        <v>59</v>
      </c>
      <c r="N100" s="25" t="s">
        <v>60</v>
      </c>
      <c r="O100" s="25" t="s">
        <v>299</v>
      </c>
      <c r="P100" s="43" t="s">
        <v>374</v>
      </c>
      <c r="Q100" s="28">
        <f t="shared" si="11"/>
        <v>2008500</v>
      </c>
      <c r="R100" s="44">
        <v>1</v>
      </c>
      <c r="S100" s="30">
        <v>23097750</v>
      </c>
      <c r="T100" s="31" t="s">
        <v>318</v>
      </c>
      <c r="U100" s="46" t="s">
        <v>68</v>
      </c>
      <c r="V100" s="46" t="s">
        <v>308</v>
      </c>
      <c r="W100" s="53">
        <v>11.5</v>
      </c>
      <c r="X100" s="34" t="s">
        <v>384</v>
      </c>
      <c r="Y100" s="47"/>
      <c r="Z100" s="54"/>
      <c r="AA100" s="37"/>
      <c r="AB100" s="37"/>
      <c r="AC100" s="38"/>
      <c r="AD100" s="39"/>
      <c r="AE100" s="39">
        <f t="shared" si="12"/>
        <v>23097750</v>
      </c>
      <c r="AF100" s="34"/>
      <c r="AG100" s="40"/>
      <c r="AH100" s="39"/>
      <c r="AI100" s="18"/>
      <c r="AJ100" s="18"/>
      <c r="AK100" s="39">
        <f t="shared" si="7"/>
        <v>0</v>
      </c>
      <c r="AL100" s="39"/>
      <c r="AM100" s="39">
        <f t="shared" si="8"/>
        <v>0</v>
      </c>
      <c r="AN100" s="34"/>
      <c r="AO100" s="41">
        <f t="shared" si="9"/>
        <v>23097750</v>
      </c>
      <c r="AP100" s="34"/>
      <c r="AQ100" s="52"/>
      <c r="AR100" s="24"/>
      <c r="AS100" s="52"/>
      <c r="AT100" s="24"/>
    </row>
    <row r="101" spans="1:46" ht="102" x14ac:dyDescent="0.25">
      <c r="A101" s="18">
        <f t="shared" si="13"/>
        <v>96</v>
      </c>
      <c r="B101" s="19" t="str">
        <f t="shared" si="10"/>
        <v>208-96</v>
      </c>
      <c r="C101" s="20" t="s">
        <v>285</v>
      </c>
      <c r="D101" s="21" t="s">
        <v>286</v>
      </c>
      <c r="E101" s="42" t="s">
        <v>295</v>
      </c>
      <c r="F101" s="25" t="s">
        <v>53</v>
      </c>
      <c r="G101" s="42" t="s">
        <v>54</v>
      </c>
      <c r="H101" s="25" t="s">
        <v>305</v>
      </c>
      <c r="I101" s="25" t="s">
        <v>56</v>
      </c>
      <c r="J101" s="25" t="s">
        <v>57</v>
      </c>
      <c r="K101" s="18">
        <v>801116</v>
      </c>
      <c r="L101" s="25" t="s">
        <v>58</v>
      </c>
      <c r="M101" s="25" t="s">
        <v>59</v>
      </c>
      <c r="N101" s="25" t="s">
        <v>60</v>
      </c>
      <c r="O101" s="25" t="s">
        <v>299</v>
      </c>
      <c r="P101" s="43" t="s">
        <v>374</v>
      </c>
      <c r="Q101" s="28">
        <f t="shared" si="11"/>
        <v>4686500</v>
      </c>
      <c r="R101" s="44">
        <v>1</v>
      </c>
      <c r="S101" s="30">
        <v>53894750</v>
      </c>
      <c r="T101" s="31" t="s">
        <v>318</v>
      </c>
      <c r="U101" s="46" t="s">
        <v>68</v>
      </c>
      <c r="V101" s="46" t="s">
        <v>308</v>
      </c>
      <c r="W101" s="53">
        <v>11.5</v>
      </c>
      <c r="X101" s="34" t="s">
        <v>385</v>
      </c>
      <c r="Y101" s="47"/>
      <c r="Z101" s="54"/>
      <c r="AA101" s="37"/>
      <c r="AB101" s="37"/>
      <c r="AC101" s="38"/>
      <c r="AD101" s="39"/>
      <c r="AE101" s="39">
        <f t="shared" si="12"/>
        <v>53894750</v>
      </c>
      <c r="AF101" s="34"/>
      <c r="AG101" s="40"/>
      <c r="AH101" s="39"/>
      <c r="AI101" s="18"/>
      <c r="AJ101" s="18"/>
      <c r="AK101" s="39">
        <f t="shared" si="7"/>
        <v>0</v>
      </c>
      <c r="AL101" s="39"/>
      <c r="AM101" s="39">
        <f t="shared" si="8"/>
        <v>0</v>
      </c>
      <c r="AN101" s="34"/>
      <c r="AO101" s="41">
        <f t="shared" si="9"/>
        <v>53894750</v>
      </c>
      <c r="AP101" s="34"/>
      <c r="AQ101" s="52"/>
      <c r="AR101" s="24"/>
      <c r="AS101" s="52"/>
      <c r="AT101" s="24"/>
    </row>
    <row r="102" spans="1:46" ht="114.75" x14ac:dyDescent="0.25">
      <c r="A102" s="18">
        <f t="shared" si="13"/>
        <v>97</v>
      </c>
      <c r="B102" s="19" t="str">
        <f t="shared" si="10"/>
        <v>208-97</v>
      </c>
      <c r="C102" s="20" t="s">
        <v>285</v>
      </c>
      <c r="D102" s="21" t="s">
        <v>286</v>
      </c>
      <c r="E102" s="22" t="s">
        <v>287</v>
      </c>
      <c r="F102" s="25" t="s">
        <v>53</v>
      </c>
      <c r="G102" s="42" t="s">
        <v>54</v>
      </c>
      <c r="H102" s="25" t="s">
        <v>305</v>
      </c>
      <c r="I102" s="25" t="s">
        <v>56</v>
      </c>
      <c r="J102" s="25" t="s">
        <v>57</v>
      </c>
      <c r="K102" s="18">
        <v>801116</v>
      </c>
      <c r="L102" s="25" t="s">
        <v>58</v>
      </c>
      <c r="M102" s="25" t="s">
        <v>59</v>
      </c>
      <c r="N102" s="25" t="s">
        <v>60</v>
      </c>
      <c r="O102" s="25" t="s">
        <v>299</v>
      </c>
      <c r="P102" s="43" t="s">
        <v>386</v>
      </c>
      <c r="Q102" s="28">
        <f t="shared" si="11"/>
        <v>1236000</v>
      </c>
      <c r="R102" s="44">
        <v>1</v>
      </c>
      <c r="S102" s="30">
        <v>14214000</v>
      </c>
      <c r="T102" s="31" t="s">
        <v>318</v>
      </c>
      <c r="U102" s="46" t="s">
        <v>68</v>
      </c>
      <c r="V102" s="46" t="s">
        <v>308</v>
      </c>
      <c r="W102" s="53">
        <v>11.5</v>
      </c>
      <c r="X102" s="34">
        <v>18</v>
      </c>
      <c r="Y102" s="47">
        <v>43102</v>
      </c>
      <c r="Z102" s="54">
        <v>14214000</v>
      </c>
      <c r="AA102" s="37"/>
      <c r="AB102" s="37">
        <v>25</v>
      </c>
      <c r="AC102" s="50">
        <v>43102</v>
      </c>
      <c r="AD102" s="39">
        <v>13200000</v>
      </c>
      <c r="AE102" s="39">
        <f t="shared" si="12"/>
        <v>1014000</v>
      </c>
      <c r="AF102" s="34">
        <v>444</v>
      </c>
      <c r="AG102" s="51">
        <v>43125</v>
      </c>
      <c r="AH102" s="39">
        <v>13200000</v>
      </c>
      <c r="AI102" s="18" t="s">
        <v>387</v>
      </c>
      <c r="AJ102" s="18">
        <v>379</v>
      </c>
      <c r="AK102" s="39">
        <f t="shared" si="7"/>
        <v>0</v>
      </c>
      <c r="AL102" s="39">
        <v>2600000.1</v>
      </c>
      <c r="AM102" s="39">
        <f t="shared" si="8"/>
        <v>10599999.9</v>
      </c>
      <c r="AN102" s="34"/>
      <c r="AO102" s="41">
        <f t="shared" si="9"/>
        <v>1014000</v>
      </c>
      <c r="AP102" s="34"/>
      <c r="AQ102" s="52">
        <v>43102</v>
      </c>
      <c r="AR102" s="24" t="s">
        <v>312</v>
      </c>
      <c r="AS102" s="52">
        <v>43102</v>
      </c>
      <c r="AT102" s="24" t="s">
        <v>313</v>
      </c>
    </row>
    <row r="103" spans="1:46" ht="102" x14ac:dyDescent="0.25">
      <c r="A103" s="18">
        <f t="shared" si="13"/>
        <v>98</v>
      </c>
      <c r="B103" s="19" t="str">
        <f t="shared" si="10"/>
        <v>208-98</v>
      </c>
      <c r="C103" s="20" t="s">
        <v>285</v>
      </c>
      <c r="D103" s="21" t="s">
        <v>286</v>
      </c>
      <c r="E103" s="42" t="s">
        <v>295</v>
      </c>
      <c r="F103" s="25" t="s">
        <v>53</v>
      </c>
      <c r="G103" s="42" t="s">
        <v>54</v>
      </c>
      <c r="H103" s="25" t="s">
        <v>305</v>
      </c>
      <c r="I103" s="25" t="s">
        <v>56</v>
      </c>
      <c r="J103" s="25" t="s">
        <v>57</v>
      </c>
      <c r="K103" s="18">
        <v>801116</v>
      </c>
      <c r="L103" s="25" t="s">
        <v>58</v>
      </c>
      <c r="M103" s="25" t="s">
        <v>59</v>
      </c>
      <c r="N103" s="25" t="s">
        <v>60</v>
      </c>
      <c r="O103" s="25" t="s">
        <v>299</v>
      </c>
      <c r="P103" s="43" t="s">
        <v>386</v>
      </c>
      <c r="Q103" s="28">
        <f t="shared" si="11"/>
        <v>2884000</v>
      </c>
      <c r="R103" s="44">
        <v>1</v>
      </c>
      <c r="S103" s="30">
        <v>33166000</v>
      </c>
      <c r="T103" s="31" t="s">
        <v>318</v>
      </c>
      <c r="U103" s="46" t="s">
        <v>68</v>
      </c>
      <c r="V103" s="46" t="s">
        <v>308</v>
      </c>
      <c r="W103" s="53">
        <v>11.5</v>
      </c>
      <c r="X103" s="34">
        <v>17</v>
      </c>
      <c r="Y103" s="47">
        <v>43102</v>
      </c>
      <c r="Z103" s="54">
        <v>33166000</v>
      </c>
      <c r="AA103" s="37"/>
      <c r="AB103" s="37">
        <v>25</v>
      </c>
      <c r="AC103" s="50">
        <v>43102</v>
      </c>
      <c r="AD103" s="39">
        <v>30799999.999999996</v>
      </c>
      <c r="AE103" s="39">
        <f t="shared" si="12"/>
        <v>2366000.0000000037</v>
      </c>
      <c r="AF103" s="34">
        <v>444</v>
      </c>
      <c r="AG103" s="51">
        <v>43125</v>
      </c>
      <c r="AH103" s="39">
        <v>30799999.999999996</v>
      </c>
      <c r="AI103" s="18" t="s">
        <v>387</v>
      </c>
      <c r="AJ103" s="18">
        <v>379</v>
      </c>
      <c r="AK103" s="39">
        <f t="shared" si="7"/>
        <v>0</v>
      </c>
      <c r="AL103" s="39">
        <v>6066666.8999999994</v>
      </c>
      <c r="AM103" s="39">
        <f t="shared" si="8"/>
        <v>24733333.099999998</v>
      </c>
      <c r="AN103" s="34"/>
      <c r="AO103" s="41">
        <f t="shared" si="9"/>
        <v>2366000.0000000037</v>
      </c>
      <c r="AP103" s="34"/>
      <c r="AQ103" s="52">
        <v>43102</v>
      </c>
      <c r="AR103" s="24" t="s">
        <v>312</v>
      </c>
      <c r="AS103" s="52">
        <v>43102</v>
      </c>
      <c r="AT103" s="24" t="s">
        <v>313</v>
      </c>
    </row>
    <row r="104" spans="1:46" ht="114.75" x14ac:dyDescent="0.25">
      <c r="A104" s="18">
        <f t="shared" si="13"/>
        <v>99</v>
      </c>
      <c r="B104" s="19" t="str">
        <f t="shared" si="10"/>
        <v>208-99</v>
      </c>
      <c r="C104" s="20" t="s">
        <v>285</v>
      </c>
      <c r="D104" s="21" t="s">
        <v>286</v>
      </c>
      <c r="E104" s="22" t="s">
        <v>287</v>
      </c>
      <c r="F104" s="25" t="s">
        <v>53</v>
      </c>
      <c r="G104" s="42" t="s">
        <v>54</v>
      </c>
      <c r="H104" s="25" t="s">
        <v>305</v>
      </c>
      <c r="I104" s="25" t="s">
        <v>56</v>
      </c>
      <c r="J104" s="25" t="s">
        <v>57</v>
      </c>
      <c r="K104" s="18">
        <v>801116</v>
      </c>
      <c r="L104" s="25" t="s">
        <v>58</v>
      </c>
      <c r="M104" s="25" t="s">
        <v>59</v>
      </c>
      <c r="N104" s="25" t="s">
        <v>60</v>
      </c>
      <c r="O104" s="25" t="s">
        <v>299</v>
      </c>
      <c r="P104" s="43" t="s">
        <v>388</v>
      </c>
      <c r="Q104" s="28">
        <f t="shared" si="11"/>
        <v>1359600</v>
      </c>
      <c r="R104" s="44">
        <v>1</v>
      </c>
      <c r="S104" s="30">
        <v>15635400</v>
      </c>
      <c r="T104" s="31" t="s">
        <v>318</v>
      </c>
      <c r="U104" s="46" t="s">
        <v>68</v>
      </c>
      <c r="V104" s="46" t="s">
        <v>308</v>
      </c>
      <c r="W104" s="53">
        <v>11.5</v>
      </c>
      <c r="X104" s="34">
        <v>16</v>
      </c>
      <c r="Y104" s="47">
        <v>43102</v>
      </c>
      <c r="Z104" s="54">
        <v>15635400</v>
      </c>
      <c r="AA104" s="37"/>
      <c r="AB104" s="37">
        <v>21</v>
      </c>
      <c r="AC104" s="50">
        <v>43102</v>
      </c>
      <c r="AD104" s="39">
        <v>8157600</v>
      </c>
      <c r="AE104" s="39">
        <f t="shared" si="12"/>
        <v>7477800</v>
      </c>
      <c r="AF104" s="34">
        <v>312</v>
      </c>
      <c r="AG104" s="51">
        <v>43122</v>
      </c>
      <c r="AH104" s="39">
        <v>8157600</v>
      </c>
      <c r="AI104" s="18" t="s">
        <v>389</v>
      </c>
      <c r="AJ104" s="18">
        <v>226</v>
      </c>
      <c r="AK104" s="39">
        <f t="shared" si="7"/>
        <v>0</v>
      </c>
      <c r="AL104" s="39">
        <v>3172400.1</v>
      </c>
      <c r="AM104" s="39">
        <f t="shared" si="8"/>
        <v>4985199.9000000004</v>
      </c>
      <c r="AN104" s="34"/>
      <c r="AO104" s="41">
        <f t="shared" si="9"/>
        <v>7477800</v>
      </c>
      <c r="AP104" s="34"/>
      <c r="AQ104" s="52">
        <v>43102</v>
      </c>
      <c r="AR104" s="24" t="s">
        <v>312</v>
      </c>
      <c r="AS104" s="52">
        <v>43102</v>
      </c>
      <c r="AT104" s="24" t="s">
        <v>313</v>
      </c>
    </row>
    <row r="105" spans="1:46" ht="102" x14ac:dyDescent="0.25">
      <c r="A105" s="18">
        <f t="shared" si="13"/>
        <v>100</v>
      </c>
      <c r="B105" s="19" t="str">
        <f t="shared" si="10"/>
        <v>208-100</v>
      </c>
      <c r="C105" s="20" t="s">
        <v>285</v>
      </c>
      <c r="D105" s="21" t="s">
        <v>286</v>
      </c>
      <c r="E105" s="42" t="s">
        <v>295</v>
      </c>
      <c r="F105" s="25" t="s">
        <v>53</v>
      </c>
      <c r="G105" s="42" t="s">
        <v>54</v>
      </c>
      <c r="H105" s="25" t="s">
        <v>305</v>
      </c>
      <c r="I105" s="25" t="s">
        <v>56</v>
      </c>
      <c r="J105" s="25" t="s">
        <v>57</v>
      </c>
      <c r="K105" s="18">
        <v>801116</v>
      </c>
      <c r="L105" s="25" t="s">
        <v>58</v>
      </c>
      <c r="M105" s="25" t="s">
        <v>59</v>
      </c>
      <c r="N105" s="25" t="s">
        <v>60</v>
      </c>
      <c r="O105" s="25" t="s">
        <v>299</v>
      </c>
      <c r="P105" s="43" t="s">
        <v>388</v>
      </c>
      <c r="Q105" s="28">
        <f t="shared" si="11"/>
        <v>3172400</v>
      </c>
      <c r="R105" s="44">
        <v>1</v>
      </c>
      <c r="S105" s="30">
        <v>36482600</v>
      </c>
      <c r="T105" s="31" t="s">
        <v>318</v>
      </c>
      <c r="U105" s="46" t="s">
        <v>68</v>
      </c>
      <c r="V105" s="46" t="s">
        <v>308</v>
      </c>
      <c r="W105" s="53">
        <v>11.5</v>
      </c>
      <c r="X105" s="34">
        <v>15</v>
      </c>
      <c r="Y105" s="47">
        <v>43102</v>
      </c>
      <c r="Z105" s="54">
        <v>36482600</v>
      </c>
      <c r="AA105" s="37"/>
      <c r="AB105" s="37">
        <v>21</v>
      </c>
      <c r="AC105" s="50">
        <v>43102</v>
      </c>
      <c r="AD105" s="39">
        <v>19034400</v>
      </c>
      <c r="AE105" s="39">
        <f t="shared" si="12"/>
        <v>17448200</v>
      </c>
      <c r="AF105" s="34">
        <v>312</v>
      </c>
      <c r="AG105" s="51">
        <v>43122</v>
      </c>
      <c r="AH105" s="39">
        <v>19034400</v>
      </c>
      <c r="AI105" s="18" t="s">
        <v>389</v>
      </c>
      <c r="AJ105" s="18">
        <v>226</v>
      </c>
      <c r="AK105" s="39">
        <f t="shared" si="7"/>
        <v>0</v>
      </c>
      <c r="AL105" s="39">
        <v>7402266.8999999994</v>
      </c>
      <c r="AM105" s="39">
        <f t="shared" si="8"/>
        <v>11632133.100000001</v>
      </c>
      <c r="AN105" s="34"/>
      <c r="AO105" s="41">
        <f t="shared" si="9"/>
        <v>17448200</v>
      </c>
      <c r="AP105" s="34"/>
      <c r="AQ105" s="52">
        <v>43102</v>
      </c>
      <c r="AR105" s="24" t="s">
        <v>312</v>
      </c>
      <c r="AS105" s="52">
        <v>43102</v>
      </c>
      <c r="AT105" s="24" t="s">
        <v>313</v>
      </c>
    </row>
    <row r="106" spans="1:46" ht="114.75" x14ac:dyDescent="0.25">
      <c r="A106" s="18">
        <f t="shared" si="13"/>
        <v>101</v>
      </c>
      <c r="B106" s="19" t="str">
        <f t="shared" si="10"/>
        <v>208-101</v>
      </c>
      <c r="C106" s="20" t="s">
        <v>285</v>
      </c>
      <c r="D106" s="21" t="s">
        <v>286</v>
      </c>
      <c r="E106" s="22" t="s">
        <v>287</v>
      </c>
      <c r="F106" s="25" t="s">
        <v>53</v>
      </c>
      <c r="G106" s="42" t="s">
        <v>54</v>
      </c>
      <c r="H106" s="25" t="s">
        <v>305</v>
      </c>
      <c r="I106" s="25" t="s">
        <v>56</v>
      </c>
      <c r="J106" s="25" t="s">
        <v>57</v>
      </c>
      <c r="K106" s="18">
        <v>801116</v>
      </c>
      <c r="L106" s="25" t="s">
        <v>58</v>
      </c>
      <c r="M106" s="25" t="s">
        <v>59</v>
      </c>
      <c r="N106" s="25" t="s">
        <v>60</v>
      </c>
      <c r="O106" s="25" t="s">
        <v>299</v>
      </c>
      <c r="P106" s="43" t="s">
        <v>390</v>
      </c>
      <c r="Q106" s="28">
        <f t="shared" si="11"/>
        <v>2472000</v>
      </c>
      <c r="R106" s="44">
        <v>1</v>
      </c>
      <c r="S106" s="30">
        <v>28428000</v>
      </c>
      <c r="T106" s="31" t="s">
        <v>318</v>
      </c>
      <c r="U106" s="46" t="s">
        <v>68</v>
      </c>
      <c r="V106" s="46" t="s">
        <v>308</v>
      </c>
      <c r="W106" s="53">
        <v>11.5</v>
      </c>
      <c r="X106" s="34">
        <v>14</v>
      </c>
      <c r="Y106" s="47">
        <v>43102</v>
      </c>
      <c r="Z106" s="54">
        <v>28428000</v>
      </c>
      <c r="AA106" s="37"/>
      <c r="AB106" s="37">
        <v>18</v>
      </c>
      <c r="AC106" s="50">
        <v>43102</v>
      </c>
      <c r="AD106" s="39">
        <v>27192000</v>
      </c>
      <c r="AE106" s="39">
        <f t="shared" si="12"/>
        <v>1236000</v>
      </c>
      <c r="AF106" s="34">
        <v>465</v>
      </c>
      <c r="AG106" s="51">
        <v>43126</v>
      </c>
      <c r="AH106" s="39">
        <v>27192000</v>
      </c>
      <c r="AI106" s="18" t="s">
        <v>391</v>
      </c>
      <c r="AJ106" s="18">
        <v>392</v>
      </c>
      <c r="AK106" s="39">
        <f t="shared" si="7"/>
        <v>0</v>
      </c>
      <c r="AL106" s="39">
        <v>5355999.8999999994</v>
      </c>
      <c r="AM106" s="39">
        <f t="shared" si="8"/>
        <v>21836000.100000001</v>
      </c>
      <c r="AN106" s="34"/>
      <c r="AO106" s="41">
        <f t="shared" si="9"/>
        <v>1236000</v>
      </c>
      <c r="AP106" s="34"/>
      <c r="AQ106" s="52">
        <v>43102</v>
      </c>
      <c r="AR106" s="24" t="s">
        <v>312</v>
      </c>
      <c r="AS106" s="52">
        <v>43102</v>
      </c>
      <c r="AT106" s="24" t="s">
        <v>313</v>
      </c>
    </row>
    <row r="107" spans="1:46" ht="102" x14ac:dyDescent="0.25">
      <c r="A107" s="18">
        <f t="shared" si="13"/>
        <v>102</v>
      </c>
      <c r="B107" s="19" t="str">
        <f t="shared" si="10"/>
        <v>208-102</v>
      </c>
      <c r="C107" s="20" t="s">
        <v>285</v>
      </c>
      <c r="D107" s="21" t="s">
        <v>286</v>
      </c>
      <c r="E107" s="42" t="s">
        <v>295</v>
      </c>
      <c r="F107" s="25" t="s">
        <v>53</v>
      </c>
      <c r="G107" s="42" t="s">
        <v>54</v>
      </c>
      <c r="H107" s="25" t="s">
        <v>305</v>
      </c>
      <c r="I107" s="25" t="s">
        <v>56</v>
      </c>
      <c r="J107" s="25" t="s">
        <v>57</v>
      </c>
      <c r="K107" s="18">
        <v>801116</v>
      </c>
      <c r="L107" s="25" t="s">
        <v>58</v>
      </c>
      <c r="M107" s="25" t="s">
        <v>59</v>
      </c>
      <c r="N107" s="25" t="s">
        <v>60</v>
      </c>
      <c r="O107" s="25" t="s">
        <v>299</v>
      </c>
      <c r="P107" s="43" t="s">
        <v>390</v>
      </c>
      <c r="Q107" s="28">
        <f t="shared" si="11"/>
        <v>5768000</v>
      </c>
      <c r="R107" s="44">
        <v>1</v>
      </c>
      <c r="S107" s="30">
        <v>66332000</v>
      </c>
      <c r="T107" s="31" t="s">
        <v>318</v>
      </c>
      <c r="U107" s="46" t="s">
        <v>68</v>
      </c>
      <c r="V107" s="46" t="s">
        <v>308</v>
      </c>
      <c r="W107" s="53">
        <v>11.5</v>
      </c>
      <c r="X107" s="34">
        <v>13</v>
      </c>
      <c r="Y107" s="47">
        <v>43102</v>
      </c>
      <c r="Z107" s="54">
        <v>66332000</v>
      </c>
      <c r="AA107" s="37"/>
      <c r="AB107" s="37">
        <v>18</v>
      </c>
      <c r="AC107" s="50">
        <v>43102</v>
      </c>
      <c r="AD107" s="39">
        <v>63447999.999999993</v>
      </c>
      <c r="AE107" s="39">
        <f t="shared" si="12"/>
        <v>2884000.0000000075</v>
      </c>
      <c r="AF107" s="34">
        <v>465</v>
      </c>
      <c r="AG107" s="51">
        <v>43126</v>
      </c>
      <c r="AH107" s="39">
        <v>63447999.999999993</v>
      </c>
      <c r="AI107" s="18" t="s">
        <v>391</v>
      </c>
      <c r="AJ107" s="18">
        <v>392</v>
      </c>
      <c r="AK107" s="39">
        <f t="shared" si="7"/>
        <v>0</v>
      </c>
      <c r="AL107" s="39">
        <v>12497333.1</v>
      </c>
      <c r="AM107" s="39">
        <f t="shared" si="8"/>
        <v>50950666.899999991</v>
      </c>
      <c r="AN107" s="34"/>
      <c r="AO107" s="41">
        <f t="shared" si="9"/>
        <v>2884000.0000000075</v>
      </c>
      <c r="AP107" s="34"/>
      <c r="AQ107" s="52">
        <v>43102</v>
      </c>
      <c r="AR107" s="24" t="s">
        <v>312</v>
      </c>
      <c r="AS107" s="52">
        <v>43102</v>
      </c>
      <c r="AT107" s="24" t="s">
        <v>313</v>
      </c>
    </row>
    <row r="108" spans="1:46" ht="114.75" x14ac:dyDescent="0.25">
      <c r="A108" s="18">
        <f t="shared" si="13"/>
        <v>103</v>
      </c>
      <c r="B108" s="19" t="str">
        <f t="shared" si="10"/>
        <v>208-103</v>
      </c>
      <c r="C108" s="20" t="s">
        <v>285</v>
      </c>
      <c r="D108" s="21" t="s">
        <v>286</v>
      </c>
      <c r="E108" s="22" t="s">
        <v>287</v>
      </c>
      <c r="F108" s="25" t="s">
        <v>53</v>
      </c>
      <c r="G108" s="42" t="s">
        <v>54</v>
      </c>
      <c r="H108" s="25" t="s">
        <v>305</v>
      </c>
      <c r="I108" s="25" t="s">
        <v>56</v>
      </c>
      <c r="J108" s="25" t="s">
        <v>57</v>
      </c>
      <c r="K108" s="18">
        <v>801116</v>
      </c>
      <c r="L108" s="25" t="s">
        <v>58</v>
      </c>
      <c r="M108" s="25" t="s">
        <v>59</v>
      </c>
      <c r="N108" s="25" t="s">
        <v>60</v>
      </c>
      <c r="O108" s="25" t="s">
        <v>299</v>
      </c>
      <c r="P108" s="43" t="s">
        <v>367</v>
      </c>
      <c r="Q108" s="28">
        <f t="shared" si="11"/>
        <v>1066050</v>
      </c>
      <c r="R108" s="44">
        <v>1</v>
      </c>
      <c r="S108" s="30">
        <v>12259575</v>
      </c>
      <c r="T108" s="31" t="s">
        <v>318</v>
      </c>
      <c r="U108" s="46" t="s">
        <v>68</v>
      </c>
      <c r="V108" s="46" t="s">
        <v>308</v>
      </c>
      <c r="W108" s="53">
        <v>11.5</v>
      </c>
      <c r="X108" s="34">
        <v>12</v>
      </c>
      <c r="Y108" s="47">
        <v>43102</v>
      </c>
      <c r="Z108" s="54">
        <v>12259575</v>
      </c>
      <c r="AA108" s="37"/>
      <c r="AB108" s="37">
        <v>16</v>
      </c>
      <c r="AC108" s="50">
        <v>43102</v>
      </c>
      <c r="AD108" s="39">
        <v>12259575</v>
      </c>
      <c r="AE108" s="39">
        <f t="shared" si="12"/>
        <v>0</v>
      </c>
      <c r="AF108" s="34">
        <v>496</v>
      </c>
      <c r="AG108" s="51">
        <v>43126</v>
      </c>
      <c r="AH108" s="39">
        <v>12259575</v>
      </c>
      <c r="AI108" s="18" t="s">
        <v>392</v>
      </c>
      <c r="AJ108" s="18">
        <v>425</v>
      </c>
      <c r="AK108" s="39">
        <f t="shared" si="7"/>
        <v>0</v>
      </c>
      <c r="AL108" s="39">
        <v>2203170</v>
      </c>
      <c r="AM108" s="39">
        <f t="shared" si="8"/>
        <v>10056405</v>
      </c>
      <c r="AN108" s="34"/>
      <c r="AO108" s="41">
        <f t="shared" si="9"/>
        <v>0</v>
      </c>
      <c r="AP108" s="34"/>
      <c r="AQ108" s="52">
        <v>43102</v>
      </c>
      <c r="AR108" s="24" t="s">
        <v>312</v>
      </c>
      <c r="AS108" s="52">
        <v>43102</v>
      </c>
      <c r="AT108" s="24" t="s">
        <v>313</v>
      </c>
    </row>
    <row r="109" spans="1:46" ht="102" x14ac:dyDescent="0.25">
      <c r="A109" s="18">
        <f t="shared" si="13"/>
        <v>104</v>
      </c>
      <c r="B109" s="19" t="str">
        <f t="shared" si="10"/>
        <v>208-104</v>
      </c>
      <c r="C109" s="20" t="s">
        <v>285</v>
      </c>
      <c r="D109" s="21" t="s">
        <v>286</v>
      </c>
      <c r="E109" s="42" t="s">
        <v>295</v>
      </c>
      <c r="F109" s="25" t="s">
        <v>53</v>
      </c>
      <c r="G109" s="42" t="s">
        <v>54</v>
      </c>
      <c r="H109" s="25" t="s">
        <v>305</v>
      </c>
      <c r="I109" s="25" t="s">
        <v>56</v>
      </c>
      <c r="J109" s="25" t="s">
        <v>57</v>
      </c>
      <c r="K109" s="18">
        <v>801116</v>
      </c>
      <c r="L109" s="25" t="s">
        <v>58</v>
      </c>
      <c r="M109" s="25" t="s">
        <v>59</v>
      </c>
      <c r="N109" s="25" t="s">
        <v>60</v>
      </c>
      <c r="O109" s="25" t="s">
        <v>299</v>
      </c>
      <c r="P109" s="43" t="s">
        <v>367</v>
      </c>
      <c r="Q109" s="28">
        <f t="shared" si="11"/>
        <v>2487450</v>
      </c>
      <c r="R109" s="44">
        <v>1</v>
      </c>
      <c r="S109" s="30">
        <v>28605675</v>
      </c>
      <c r="T109" s="31" t="s">
        <v>318</v>
      </c>
      <c r="U109" s="46" t="s">
        <v>68</v>
      </c>
      <c r="V109" s="46" t="s">
        <v>308</v>
      </c>
      <c r="W109" s="53">
        <v>11.5</v>
      </c>
      <c r="X109" s="34">
        <v>11</v>
      </c>
      <c r="Y109" s="47">
        <v>43102</v>
      </c>
      <c r="Z109" s="54">
        <v>28605675</v>
      </c>
      <c r="AA109" s="37"/>
      <c r="AB109" s="37">
        <v>16</v>
      </c>
      <c r="AC109" s="50">
        <v>43102</v>
      </c>
      <c r="AD109" s="39">
        <v>28605675</v>
      </c>
      <c r="AE109" s="39">
        <f t="shared" si="12"/>
        <v>0</v>
      </c>
      <c r="AF109" s="34">
        <v>496</v>
      </c>
      <c r="AG109" s="51">
        <v>43126</v>
      </c>
      <c r="AH109" s="39">
        <v>28605675</v>
      </c>
      <c r="AI109" s="18" t="s">
        <v>392</v>
      </c>
      <c r="AJ109" s="18">
        <v>425</v>
      </c>
      <c r="AK109" s="39">
        <f t="shared" si="7"/>
        <v>0</v>
      </c>
      <c r="AL109" s="39">
        <v>5140730</v>
      </c>
      <c r="AM109" s="39">
        <f t="shared" si="8"/>
        <v>23464945</v>
      </c>
      <c r="AN109" s="34"/>
      <c r="AO109" s="41">
        <f t="shared" si="9"/>
        <v>0</v>
      </c>
      <c r="AP109" s="34"/>
      <c r="AQ109" s="52">
        <v>43102</v>
      </c>
      <c r="AR109" s="24" t="s">
        <v>312</v>
      </c>
      <c r="AS109" s="52">
        <v>43102</v>
      </c>
      <c r="AT109" s="24" t="s">
        <v>313</v>
      </c>
    </row>
    <row r="110" spans="1:46" ht="114.75" x14ac:dyDescent="0.25">
      <c r="A110" s="18">
        <f t="shared" si="13"/>
        <v>105</v>
      </c>
      <c r="B110" s="19" t="str">
        <f t="shared" si="10"/>
        <v>208-105</v>
      </c>
      <c r="C110" s="20" t="s">
        <v>285</v>
      </c>
      <c r="D110" s="21" t="s">
        <v>286</v>
      </c>
      <c r="E110" s="22" t="s">
        <v>287</v>
      </c>
      <c r="F110" s="25" t="s">
        <v>53</v>
      </c>
      <c r="G110" s="42" t="s">
        <v>54</v>
      </c>
      <c r="H110" s="25" t="s">
        <v>305</v>
      </c>
      <c r="I110" s="25" t="s">
        <v>56</v>
      </c>
      <c r="J110" s="25" t="s">
        <v>57</v>
      </c>
      <c r="K110" s="18">
        <v>801116</v>
      </c>
      <c r="L110" s="25" t="s">
        <v>58</v>
      </c>
      <c r="M110" s="25" t="s">
        <v>59</v>
      </c>
      <c r="N110" s="25" t="s">
        <v>60</v>
      </c>
      <c r="O110" s="25" t="s">
        <v>299</v>
      </c>
      <c r="P110" s="43" t="s">
        <v>393</v>
      </c>
      <c r="Q110" s="28">
        <f t="shared" si="11"/>
        <v>998070</v>
      </c>
      <c r="R110" s="44">
        <v>1</v>
      </c>
      <c r="S110" s="30">
        <v>11477805</v>
      </c>
      <c r="T110" s="31" t="s">
        <v>318</v>
      </c>
      <c r="U110" s="46" t="s">
        <v>68</v>
      </c>
      <c r="V110" s="46" t="s">
        <v>308</v>
      </c>
      <c r="W110" s="53">
        <v>11.5</v>
      </c>
      <c r="X110" s="34">
        <v>10</v>
      </c>
      <c r="Y110" s="47">
        <v>43102</v>
      </c>
      <c r="Z110" s="54">
        <v>11477805</v>
      </c>
      <c r="AA110" s="37"/>
      <c r="AB110" s="37">
        <v>93</v>
      </c>
      <c r="AC110" s="50">
        <v>43103</v>
      </c>
      <c r="AD110" s="39">
        <v>11477805</v>
      </c>
      <c r="AE110" s="39">
        <f t="shared" si="12"/>
        <v>0</v>
      </c>
      <c r="AF110" s="34">
        <v>4</v>
      </c>
      <c r="AG110" s="51">
        <v>43112</v>
      </c>
      <c r="AH110" s="39">
        <v>11477805</v>
      </c>
      <c r="AI110" s="18" t="s">
        <v>394</v>
      </c>
      <c r="AJ110" s="18">
        <v>7</v>
      </c>
      <c r="AK110" s="39">
        <f t="shared" si="7"/>
        <v>0</v>
      </c>
      <c r="AL110" s="39">
        <v>2528444.1</v>
      </c>
      <c r="AM110" s="39">
        <f t="shared" si="8"/>
        <v>8949360.9000000004</v>
      </c>
      <c r="AN110" s="34"/>
      <c r="AO110" s="41">
        <f t="shared" si="9"/>
        <v>0</v>
      </c>
      <c r="AP110" s="34"/>
      <c r="AQ110" s="52">
        <v>43102</v>
      </c>
      <c r="AR110" s="24" t="s">
        <v>312</v>
      </c>
      <c r="AS110" s="52">
        <v>43102</v>
      </c>
      <c r="AT110" s="24" t="s">
        <v>313</v>
      </c>
    </row>
    <row r="111" spans="1:46" ht="102" x14ac:dyDescent="0.25">
      <c r="A111" s="18">
        <f t="shared" si="13"/>
        <v>106</v>
      </c>
      <c r="B111" s="19" t="str">
        <f t="shared" si="10"/>
        <v>208-106</v>
      </c>
      <c r="C111" s="20" t="s">
        <v>285</v>
      </c>
      <c r="D111" s="21" t="s">
        <v>286</v>
      </c>
      <c r="E111" s="42" t="s">
        <v>295</v>
      </c>
      <c r="F111" s="25" t="s">
        <v>53</v>
      </c>
      <c r="G111" s="42" t="s">
        <v>54</v>
      </c>
      <c r="H111" s="25" t="s">
        <v>305</v>
      </c>
      <c r="I111" s="25" t="s">
        <v>56</v>
      </c>
      <c r="J111" s="25" t="s">
        <v>57</v>
      </c>
      <c r="K111" s="18">
        <v>801116</v>
      </c>
      <c r="L111" s="25" t="s">
        <v>58</v>
      </c>
      <c r="M111" s="25" t="s">
        <v>59</v>
      </c>
      <c r="N111" s="25" t="s">
        <v>60</v>
      </c>
      <c r="O111" s="25" t="s">
        <v>299</v>
      </c>
      <c r="P111" s="43" t="s">
        <v>393</v>
      </c>
      <c r="Q111" s="28">
        <f t="shared" si="11"/>
        <v>2328830</v>
      </c>
      <c r="R111" s="44">
        <v>1</v>
      </c>
      <c r="S111" s="30">
        <v>26781545</v>
      </c>
      <c r="T111" s="31" t="s">
        <v>318</v>
      </c>
      <c r="U111" s="46" t="s">
        <v>68</v>
      </c>
      <c r="V111" s="46" t="s">
        <v>308</v>
      </c>
      <c r="W111" s="53">
        <v>11.5</v>
      </c>
      <c r="X111" s="34">
        <v>9</v>
      </c>
      <c r="Y111" s="47">
        <v>43102</v>
      </c>
      <c r="Z111" s="54">
        <v>26781545</v>
      </c>
      <c r="AA111" s="37"/>
      <c r="AB111" s="37">
        <v>93</v>
      </c>
      <c r="AC111" s="50">
        <v>43103</v>
      </c>
      <c r="AD111" s="39">
        <v>26781545</v>
      </c>
      <c r="AE111" s="39">
        <f t="shared" si="12"/>
        <v>0</v>
      </c>
      <c r="AF111" s="34">
        <v>4</v>
      </c>
      <c r="AG111" s="51">
        <v>43112</v>
      </c>
      <c r="AH111" s="39">
        <v>26781545</v>
      </c>
      <c r="AI111" s="18" t="s">
        <v>394</v>
      </c>
      <c r="AJ111" s="18">
        <v>7</v>
      </c>
      <c r="AK111" s="39">
        <f t="shared" si="7"/>
        <v>0</v>
      </c>
      <c r="AL111" s="39">
        <v>5899702.8999999994</v>
      </c>
      <c r="AM111" s="39">
        <f t="shared" si="8"/>
        <v>20881842.100000001</v>
      </c>
      <c r="AN111" s="34"/>
      <c r="AO111" s="41">
        <f t="shared" si="9"/>
        <v>0</v>
      </c>
      <c r="AP111" s="34"/>
      <c r="AQ111" s="52">
        <v>43102</v>
      </c>
      <c r="AR111" s="24" t="s">
        <v>312</v>
      </c>
      <c r="AS111" s="52">
        <v>43102</v>
      </c>
      <c r="AT111" s="24" t="s">
        <v>313</v>
      </c>
    </row>
    <row r="112" spans="1:46" ht="114.75" x14ac:dyDescent="0.25">
      <c r="A112" s="18">
        <f t="shared" si="13"/>
        <v>107</v>
      </c>
      <c r="B112" s="19" t="str">
        <f t="shared" si="10"/>
        <v>208-107</v>
      </c>
      <c r="C112" s="20" t="s">
        <v>285</v>
      </c>
      <c r="D112" s="21" t="s">
        <v>286</v>
      </c>
      <c r="E112" s="22" t="s">
        <v>287</v>
      </c>
      <c r="F112" s="25" t="s">
        <v>53</v>
      </c>
      <c r="G112" s="42" t="s">
        <v>54</v>
      </c>
      <c r="H112" s="25" t="s">
        <v>305</v>
      </c>
      <c r="I112" s="25" t="s">
        <v>56</v>
      </c>
      <c r="J112" s="25" t="s">
        <v>57</v>
      </c>
      <c r="K112" s="49">
        <v>801116</v>
      </c>
      <c r="L112" s="25" t="s">
        <v>58</v>
      </c>
      <c r="M112" s="25" t="s">
        <v>59</v>
      </c>
      <c r="N112" s="25" t="s">
        <v>60</v>
      </c>
      <c r="O112" s="25" t="s">
        <v>299</v>
      </c>
      <c r="P112" s="43" t="s">
        <v>395</v>
      </c>
      <c r="Q112" s="28">
        <f t="shared" si="11"/>
        <v>377754</v>
      </c>
      <c r="R112" s="44">
        <v>1</v>
      </c>
      <c r="S112" s="30">
        <v>4344171</v>
      </c>
      <c r="T112" s="31" t="s">
        <v>318</v>
      </c>
      <c r="U112" s="46" t="s">
        <v>68</v>
      </c>
      <c r="V112" s="46" t="s">
        <v>308</v>
      </c>
      <c r="W112" s="53">
        <v>11.5</v>
      </c>
      <c r="X112" s="34">
        <v>8</v>
      </c>
      <c r="Y112" s="47">
        <v>43102</v>
      </c>
      <c r="Z112" s="54">
        <v>4344171</v>
      </c>
      <c r="AA112" s="37"/>
      <c r="AB112" s="37">
        <v>11</v>
      </c>
      <c r="AC112" s="50">
        <v>43102</v>
      </c>
      <c r="AD112" s="39">
        <v>4155277.5</v>
      </c>
      <c r="AE112" s="39">
        <f t="shared" si="12"/>
        <v>188893.5</v>
      </c>
      <c r="AF112" s="34">
        <v>177</v>
      </c>
      <c r="AG112" s="51">
        <v>43118</v>
      </c>
      <c r="AH112" s="39">
        <v>4155277.5</v>
      </c>
      <c r="AI112" s="18" t="s">
        <v>396</v>
      </c>
      <c r="AJ112" s="18">
        <v>160</v>
      </c>
      <c r="AK112" s="39">
        <f t="shared" si="7"/>
        <v>0</v>
      </c>
      <c r="AL112" s="39">
        <v>919197.6</v>
      </c>
      <c r="AM112" s="39">
        <f t="shared" si="8"/>
        <v>3236079.9</v>
      </c>
      <c r="AN112" s="34"/>
      <c r="AO112" s="41">
        <f t="shared" si="9"/>
        <v>188893.5</v>
      </c>
      <c r="AP112" s="34"/>
      <c r="AQ112" s="52">
        <v>43102</v>
      </c>
      <c r="AR112" s="24" t="s">
        <v>312</v>
      </c>
      <c r="AS112" s="52">
        <v>43102</v>
      </c>
      <c r="AT112" s="24" t="s">
        <v>313</v>
      </c>
    </row>
    <row r="113" spans="1:46" ht="102" x14ac:dyDescent="0.25">
      <c r="A113" s="18">
        <f t="shared" si="13"/>
        <v>108</v>
      </c>
      <c r="B113" s="19" t="str">
        <f t="shared" si="10"/>
        <v>208-108</v>
      </c>
      <c r="C113" s="20" t="s">
        <v>285</v>
      </c>
      <c r="D113" s="21" t="s">
        <v>286</v>
      </c>
      <c r="E113" s="42" t="s">
        <v>295</v>
      </c>
      <c r="F113" s="25" t="s">
        <v>53</v>
      </c>
      <c r="G113" s="42" t="s">
        <v>54</v>
      </c>
      <c r="H113" s="25" t="s">
        <v>305</v>
      </c>
      <c r="I113" s="25" t="s">
        <v>56</v>
      </c>
      <c r="J113" s="25" t="s">
        <v>57</v>
      </c>
      <c r="K113" s="49">
        <v>801116</v>
      </c>
      <c r="L113" s="25" t="s">
        <v>58</v>
      </c>
      <c r="M113" s="25" t="s">
        <v>59</v>
      </c>
      <c r="N113" s="25" t="s">
        <v>60</v>
      </c>
      <c r="O113" s="25" t="s">
        <v>299</v>
      </c>
      <c r="P113" s="43" t="s">
        <v>395</v>
      </c>
      <c r="Q113" s="28">
        <f t="shared" si="11"/>
        <v>881426</v>
      </c>
      <c r="R113" s="44">
        <v>1</v>
      </c>
      <c r="S113" s="30">
        <v>10136399</v>
      </c>
      <c r="T113" s="31" t="s">
        <v>318</v>
      </c>
      <c r="U113" s="46" t="s">
        <v>68</v>
      </c>
      <c r="V113" s="46" t="s">
        <v>308</v>
      </c>
      <c r="W113" s="53">
        <v>11.5</v>
      </c>
      <c r="X113" s="34">
        <v>7</v>
      </c>
      <c r="Y113" s="47">
        <v>43102</v>
      </c>
      <c r="Z113" s="54">
        <v>10136399</v>
      </c>
      <c r="AA113" s="37"/>
      <c r="AB113" s="37">
        <v>11</v>
      </c>
      <c r="AC113" s="50">
        <v>43102</v>
      </c>
      <c r="AD113" s="39">
        <v>9695647.5</v>
      </c>
      <c r="AE113" s="39">
        <f t="shared" si="12"/>
        <v>440751.5</v>
      </c>
      <c r="AF113" s="34">
        <v>177</v>
      </c>
      <c r="AG113" s="51">
        <v>43118</v>
      </c>
      <c r="AH113" s="39">
        <v>9695647.5</v>
      </c>
      <c r="AI113" s="18" t="s">
        <v>396</v>
      </c>
      <c r="AJ113" s="18">
        <v>160</v>
      </c>
      <c r="AK113" s="39">
        <f t="shared" si="7"/>
        <v>0</v>
      </c>
      <c r="AL113" s="39">
        <v>2144794.4</v>
      </c>
      <c r="AM113" s="39">
        <f t="shared" si="8"/>
        <v>7550853.0999999996</v>
      </c>
      <c r="AN113" s="34"/>
      <c r="AO113" s="41">
        <f t="shared" si="9"/>
        <v>440751.5</v>
      </c>
      <c r="AP113" s="34"/>
      <c r="AQ113" s="52">
        <v>43102</v>
      </c>
      <c r="AR113" s="24" t="s">
        <v>312</v>
      </c>
      <c r="AS113" s="52">
        <v>43102</v>
      </c>
      <c r="AT113" s="24" t="s">
        <v>313</v>
      </c>
    </row>
    <row r="114" spans="1:46" ht="114.75" x14ac:dyDescent="0.25">
      <c r="A114" s="18">
        <f t="shared" si="13"/>
        <v>109</v>
      </c>
      <c r="B114" s="19" t="str">
        <f t="shared" si="10"/>
        <v>208-109</v>
      </c>
      <c r="C114" s="20" t="s">
        <v>285</v>
      </c>
      <c r="D114" s="21" t="s">
        <v>286</v>
      </c>
      <c r="E114" s="22" t="s">
        <v>287</v>
      </c>
      <c r="F114" s="25" t="s">
        <v>53</v>
      </c>
      <c r="G114" s="42" t="s">
        <v>54</v>
      </c>
      <c r="H114" s="25" t="s">
        <v>305</v>
      </c>
      <c r="I114" s="25" t="s">
        <v>56</v>
      </c>
      <c r="J114" s="25" t="s">
        <v>57</v>
      </c>
      <c r="K114" s="18">
        <v>801116</v>
      </c>
      <c r="L114" s="25" t="s">
        <v>58</v>
      </c>
      <c r="M114" s="25" t="s">
        <v>59</v>
      </c>
      <c r="N114" s="25" t="s">
        <v>60</v>
      </c>
      <c r="O114" s="25" t="s">
        <v>299</v>
      </c>
      <c r="P114" s="43" t="s">
        <v>397</v>
      </c>
      <c r="Q114" s="28">
        <f t="shared" si="11"/>
        <v>309000</v>
      </c>
      <c r="R114" s="44">
        <v>1</v>
      </c>
      <c r="S114" s="30">
        <v>3553500</v>
      </c>
      <c r="T114" s="31" t="s">
        <v>318</v>
      </c>
      <c r="U114" s="46" t="s">
        <v>68</v>
      </c>
      <c r="V114" s="46" t="s">
        <v>308</v>
      </c>
      <c r="W114" s="53">
        <v>11.5</v>
      </c>
      <c r="X114" s="34" t="s">
        <v>398</v>
      </c>
      <c r="Y114" s="51">
        <v>43115</v>
      </c>
      <c r="Z114" s="54">
        <v>3553500</v>
      </c>
      <c r="AA114" s="37"/>
      <c r="AB114" s="37">
        <v>502</v>
      </c>
      <c r="AC114" s="50">
        <v>43116</v>
      </c>
      <c r="AD114" s="39">
        <v>3399000</v>
      </c>
      <c r="AE114" s="39">
        <f t="shared" si="12"/>
        <v>154500</v>
      </c>
      <c r="AF114" s="34">
        <v>404</v>
      </c>
      <c r="AG114" s="51">
        <v>43124</v>
      </c>
      <c r="AH114" s="39">
        <v>3399000</v>
      </c>
      <c r="AI114" s="18" t="s">
        <v>399</v>
      </c>
      <c r="AJ114" s="18">
        <v>304</v>
      </c>
      <c r="AK114" s="39">
        <f t="shared" si="7"/>
        <v>0</v>
      </c>
      <c r="AL114" s="39">
        <v>690099.9</v>
      </c>
      <c r="AM114" s="39">
        <f t="shared" si="8"/>
        <v>2708900.1</v>
      </c>
      <c r="AN114" s="34"/>
      <c r="AO114" s="41">
        <f t="shared" si="9"/>
        <v>154500</v>
      </c>
      <c r="AP114" s="34"/>
      <c r="AQ114" s="18" t="s">
        <v>400</v>
      </c>
      <c r="AR114" s="24" t="s">
        <v>312</v>
      </c>
      <c r="AS114" s="18" t="s">
        <v>400</v>
      </c>
      <c r="AT114" s="24" t="s">
        <v>313</v>
      </c>
    </row>
    <row r="115" spans="1:46" ht="102" x14ac:dyDescent="0.25">
      <c r="A115" s="18">
        <f t="shared" si="13"/>
        <v>110</v>
      </c>
      <c r="B115" s="19" t="str">
        <f t="shared" si="10"/>
        <v>208-110</v>
      </c>
      <c r="C115" s="20" t="s">
        <v>285</v>
      </c>
      <c r="D115" s="21" t="s">
        <v>286</v>
      </c>
      <c r="E115" s="42" t="s">
        <v>295</v>
      </c>
      <c r="F115" s="25" t="s">
        <v>53</v>
      </c>
      <c r="G115" s="42" t="s">
        <v>54</v>
      </c>
      <c r="H115" s="25" t="s">
        <v>305</v>
      </c>
      <c r="I115" s="25" t="s">
        <v>56</v>
      </c>
      <c r="J115" s="25" t="s">
        <v>57</v>
      </c>
      <c r="K115" s="18">
        <v>801116</v>
      </c>
      <c r="L115" s="25" t="s">
        <v>58</v>
      </c>
      <c r="M115" s="25" t="s">
        <v>59</v>
      </c>
      <c r="N115" s="25" t="s">
        <v>60</v>
      </c>
      <c r="O115" s="25" t="s">
        <v>299</v>
      </c>
      <c r="P115" s="43" t="s">
        <v>397</v>
      </c>
      <c r="Q115" s="28">
        <f t="shared" si="11"/>
        <v>721000</v>
      </c>
      <c r="R115" s="44">
        <v>1</v>
      </c>
      <c r="S115" s="30">
        <v>8291500</v>
      </c>
      <c r="T115" s="31" t="s">
        <v>318</v>
      </c>
      <c r="U115" s="46" t="s">
        <v>68</v>
      </c>
      <c r="V115" s="46" t="s">
        <v>308</v>
      </c>
      <c r="W115" s="53">
        <v>11.5</v>
      </c>
      <c r="X115" s="34" t="s">
        <v>401</v>
      </c>
      <c r="Y115" s="51">
        <v>43115</v>
      </c>
      <c r="Z115" s="54">
        <v>8291500</v>
      </c>
      <c r="AA115" s="37"/>
      <c r="AB115" s="37">
        <v>502</v>
      </c>
      <c r="AC115" s="50">
        <v>43116</v>
      </c>
      <c r="AD115" s="39">
        <v>7930999.9999999991</v>
      </c>
      <c r="AE115" s="39">
        <f t="shared" si="12"/>
        <v>360500.00000000093</v>
      </c>
      <c r="AF115" s="34">
        <v>404</v>
      </c>
      <c r="AG115" s="51">
        <v>43124</v>
      </c>
      <c r="AH115" s="39">
        <v>7930999.9999999991</v>
      </c>
      <c r="AI115" s="18" t="s">
        <v>399</v>
      </c>
      <c r="AJ115" s="18">
        <v>304</v>
      </c>
      <c r="AK115" s="39">
        <f t="shared" si="7"/>
        <v>0</v>
      </c>
      <c r="AL115" s="39">
        <v>1610233.0999999999</v>
      </c>
      <c r="AM115" s="39">
        <f t="shared" si="8"/>
        <v>6320766.8999999994</v>
      </c>
      <c r="AN115" s="34"/>
      <c r="AO115" s="41">
        <f t="shared" si="9"/>
        <v>360500.00000000093</v>
      </c>
      <c r="AP115" s="34"/>
      <c r="AQ115" s="18" t="s">
        <v>400</v>
      </c>
      <c r="AR115" s="24" t="s">
        <v>312</v>
      </c>
      <c r="AS115" s="18" t="s">
        <v>400</v>
      </c>
      <c r="AT115" s="24" t="s">
        <v>313</v>
      </c>
    </row>
    <row r="116" spans="1:46" ht="114.75" x14ac:dyDescent="0.25">
      <c r="A116" s="18">
        <f t="shared" si="13"/>
        <v>111</v>
      </c>
      <c r="B116" s="19" t="str">
        <f t="shared" si="10"/>
        <v>208-111</v>
      </c>
      <c r="C116" s="20" t="s">
        <v>285</v>
      </c>
      <c r="D116" s="21" t="s">
        <v>286</v>
      </c>
      <c r="E116" s="22" t="s">
        <v>287</v>
      </c>
      <c r="F116" s="25" t="s">
        <v>53</v>
      </c>
      <c r="G116" s="42" t="s">
        <v>54</v>
      </c>
      <c r="H116" s="25" t="s">
        <v>305</v>
      </c>
      <c r="I116" s="25" t="s">
        <v>56</v>
      </c>
      <c r="J116" s="25" t="s">
        <v>57</v>
      </c>
      <c r="K116" s="49">
        <v>801116</v>
      </c>
      <c r="L116" s="25" t="s">
        <v>58</v>
      </c>
      <c r="M116" s="25" t="s">
        <v>59</v>
      </c>
      <c r="N116" s="25" t="s">
        <v>60</v>
      </c>
      <c r="O116" s="25" t="s">
        <v>299</v>
      </c>
      <c r="P116" s="43" t="s">
        <v>402</v>
      </c>
      <c r="Q116" s="28">
        <f t="shared" si="11"/>
        <v>266514</v>
      </c>
      <c r="R116" s="44">
        <v>1</v>
      </c>
      <c r="S116" s="30">
        <v>3064911</v>
      </c>
      <c r="T116" s="31" t="s">
        <v>318</v>
      </c>
      <c r="U116" s="46" t="s">
        <v>68</v>
      </c>
      <c r="V116" s="46" t="s">
        <v>308</v>
      </c>
      <c r="W116" s="53">
        <v>11.5</v>
      </c>
      <c r="X116" s="34">
        <v>4</v>
      </c>
      <c r="Y116" s="47">
        <v>43102</v>
      </c>
      <c r="Z116" s="54">
        <v>3064911</v>
      </c>
      <c r="AA116" s="37"/>
      <c r="AB116" s="37">
        <v>5</v>
      </c>
      <c r="AC116" s="50">
        <v>43102</v>
      </c>
      <c r="AD116" s="30">
        <v>2931637.5</v>
      </c>
      <c r="AE116" s="39">
        <f t="shared" si="12"/>
        <v>133273.5</v>
      </c>
      <c r="AF116" s="34">
        <v>293</v>
      </c>
      <c r="AG116" s="51">
        <v>43122</v>
      </c>
      <c r="AH116" s="30">
        <v>2931637.5</v>
      </c>
      <c r="AI116" s="18" t="s">
        <v>403</v>
      </c>
      <c r="AJ116" s="18">
        <v>261</v>
      </c>
      <c r="AK116" s="39">
        <f t="shared" si="7"/>
        <v>0</v>
      </c>
      <c r="AL116" s="39">
        <v>612978.6</v>
      </c>
      <c r="AM116" s="39">
        <f t="shared" si="8"/>
        <v>2318658.9</v>
      </c>
      <c r="AN116" s="34"/>
      <c r="AO116" s="41">
        <f t="shared" si="9"/>
        <v>133273.5</v>
      </c>
      <c r="AP116" s="34"/>
      <c r="AQ116" s="52">
        <v>43102</v>
      </c>
      <c r="AR116" s="24" t="s">
        <v>312</v>
      </c>
      <c r="AS116" s="52">
        <v>43102</v>
      </c>
      <c r="AT116" s="24" t="s">
        <v>313</v>
      </c>
    </row>
    <row r="117" spans="1:46" ht="114.75" x14ac:dyDescent="0.25">
      <c r="A117" s="18">
        <f t="shared" si="13"/>
        <v>112</v>
      </c>
      <c r="B117" s="19" t="str">
        <f t="shared" si="10"/>
        <v>208-112</v>
      </c>
      <c r="C117" s="20" t="s">
        <v>285</v>
      </c>
      <c r="D117" s="21" t="s">
        <v>286</v>
      </c>
      <c r="E117" s="42" t="s">
        <v>295</v>
      </c>
      <c r="F117" s="25" t="s">
        <v>53</v>
      </c>
      <c r="G117" s="42" t="s">
        <v>54</v>
      </c>
      <c r="H117" s="25" t="s">
        <v>305</v>
      </c>
      <c r="I117" s="25" t="s">
        <v>56</v>
      </c>
      <c r="J117" s="25" t="s">
        <v>57</v>
      </c>
      <c r="K117" s="49">
        <v>801116</v>
      </c>
      <c r="L117" s="25" t="s">
        <v>58</v>
      </c>
      <c r="M117" s="25" t="s">
        <v>59</v>
      </c>
      <c r="N117" s="25" t="s">
        <v>60</v>
      </c>
      <c r="O117" s="25" t="s">
        <v>299</v>
      </c>
      <c r="P117" s="43" t="s">
        <v>402</v>
      </c>
      <c r="Q117" s="28">
        <f t="shared" si="11"/>
        <v>621866</v>
      </c>
      <c r="R117" s="44">
        <v>1</v>
      </c>
      <c r="S117" s="30">
        <v>7151459</v>
      </c>
      <c r="T117" s="31" t="s">
        <v>318</v>
      </c>
      <c r="U117" s="46" t="s">
        <v>68</v>
      </c>
      <c r="V117" s="46" t="s">
        <v>308</v>
      </c>
      <c r="W117" s="53">
        <v>11.5</v>
      </c>
      <c r="X117" s="34">
        <v>3</v>
      </c>
      <c r="Y117" s="47">
        <v>43102</v>
      </c>
      <c r="Z117" s="54">
        <v>7151459</v>
      </c>
      <c r="AA117" s="37"/>
      <c r="AB117" s="37">
        <v>5</v>
      </c>
      <c r="AC117" s="50">
        <v>43102</v>
      </c>
      <c r="AD117" s="30">
        <v>6840487.5</v>
      </c>
      <c r="AE117" s="39">
        <f t="shared" si="12"/>
        <v>310971.5</v>
      </c>
      <c r="AF117" s="34">
        <v>293</v>
      </c>
      <c r="AG117" s="51">
        <v>43122</v>
      </c>
      <c r="AH117" s="30">
        <v>6840487.5</v>
      </c>
      <c r="AI117" s="18" t="s">
        <v>403</v>
      </c>
      <c r="AJ117" s="18">
        <v>261</v>
      </c>
      <c r="AK117" s="39">
        <f>AD117-AH117</f>
        <v>0</v>
      </c>
      <c r="AL117" s="39">
        <v>1430283.4</v>
      </c>
      <c r="AM117" s="39">
        <f t="shared" si="8"/>
        <v>5410204.0999999996</v>
      </c>
      <c r="AN117" s="34"/>
      <c r="AO117" s="41">
        <f t="shared" si="9"/>
        <v>310971.5</v>
      </c>
      <c r="AP117" s="34"/>
      <c r="AQ117" s="52">
        <v>43102</v>
      </c>
      <c r="AR117" s="24" t="s">
        <v>312</v>
      </c>
      <c r="AS117" s="52">
        <v>43102</v>
      </c>
      <c r="AT117" s="24" t="s">
        <v>313</v>
      </c>
    </row>
    <row r="118" spans="1:46" ht="114.75" x14ac:dyDescent="0.25">
      <c r="A118" s="18">
        <f t="shared" si="13"/>
        <v>113</v>
      </c>
      <c r="B118" s="19" t="str">
        <f t="shared" si="10"/>
        <v>208-113</v>
      </c>
      <c r="C118" s="20" t="s">
        <v>285</v>
      </c>
      <c r="D118" s="21" t="s">
        <v>286</v>
      </c>
      <c r="E118" s="22" t="s">
        <v>287</v>
      </c>
      <c r="F118" s="25" t="s">
        <v>53</v>
      </c>
      <c r="G118" s="42" t="s">
        <v>54</v>
      </c>
      <c r="H118" s="25" t="s">
        <v>305</v>
      </c>
      <c r="I118" s="25" t="s">
        <v>56</v>
      </c>
      <c r="J118" s="25" t="s">
        <v>57</v>
      </c>
      <c r="K118" s="18">
        <v>801116</v>
      </c>
      <c r="L118" s="25" t="s">
        <v>58</v>
      </c>
      <c r="M118" s="25" t="s">
        <v>59</v>
      </c>
      <c r="N118" s="25" t="s">
        <v>60</v>
      </c>
      <c r="O118" s="25" t="s">
        <v>299</v>
      </c>
      <c r="P118" s="43" t="s">
        <v>404</v>
      </c>
      <c r="Q118" s="28">
        <f t="shared" si="11"/>
        <v>618000</v>
      </c>
      <c r="R118" s="44">
        <v>1</v>
      </c>
      <c r="S118" s="30">
        <v>7107000</v>
      </c>
      <c r="T118" s="31" t="s">
        <v>318</v>
      </c>
      <c r="U118" s="46" t="s">
        <v>68</v>
      </c>
      <c r="V118" s="46" t="s">
        <v>308</v>
      </c>
      <c r="W118" s="53">
        <v>11.5</v>
      </c>
      <c r="X118" s="34">
        <v>2</v>
      </c>
      <c r="Y118" s="47">
        <v>43102</v>
      </c>
      <c r="Z118" s="54">
        <v>7107000</v>
      </c>
      <c r="AA118" s="37"/>
      <c r="AB118" s="37">
        <v>3</v>
      </c>
      <c r="AC118" s="50">
        <v>43102</v>
      </c>
      <c r="AD118" s="39">
        <v>7107000</v>
      </c>
      <c r="AE118" s="39">
        <f t="shared" si="12"/>
        <v>0</v>
      </c>
      <c r="AF118" s="34">
        <v>152</v>
      </c>
      <c r="AG118" s="51">
        <v>43117</v>
      </c>
      <c r="AH118" s="39">
        <v>7107000</v>
      </c>
      <c r="AI118" s="18" t="s">
        <v>405</v>
      </c>
      <c r="AJ118" s="18">
        <v>155</v>
      </c>
      <c r="AK118" s="39">
        <f t="shared" si="7"/>
        <v>0</v>
      </c>
      <c r="AL118" s="39">
        <v>1503800.7</v>
      </c>
      <c r="AM118" s="39">
        <f t="shared" si="8"/>
        <v>5603199.2999999998</v>
      </c>
      <c r="AN118" s="34"/>
      <c r="AO118" s="41">
        <f t="shared" si="9"/>
        <v>0</v>
      </c>
      <c r="AP118" s="34"/>
      <c r="AQ118" s="52">
        <v>43102</v>
      </c>
      <c r="AR118" s="24" t="s">
        <v>312</v>
      </c>
      <c r="AS118" s="52">
        <v>43102</v>
      </c>
      <c r="AT118" s="24" t="s">
        <v>313</v>
      </c>
    </row>
    <row r="119" spans="1:46" ht="102" x14ac:dyDescent="0.25">
      <c r="A119" s="18">
        <f t="shared" si="13"/>
        <v>114</v>
      </c>
      <c r="B119" s="19" t="str">
        <f t="shared" si="10"/>
        <v>208-114</v>
      </c>
      <c r="C119" s="20" t="s">
        <v>285</v>
      </c>
      <c r="D119" s="21" t="s">
        <v>286</v>
      </c>
      <c r="E119" s="42" t="s">
        <v>295</v>
      </c>
      <c r="F119" s="25" t="s">
        <v>53</v>
      </c>
      <c r="G119" s="42" t="s">
        <v>54</v>
      </c>
      <c r="H119" s="25" t="s">
        <v>305</v>
      </c>
      <c r="I119" s="25" t="s">
        <v>56</v>
      </c>
      <c r="J119" s="25" t="s">
        <v>57</v>
      </c>
      <c r="K119" s="18">
        <v>801116</v>
      </c>
      <c r="L119" s="25" t="s">
        <v>58</v>
      </c>
      <c r="M119" s="25" t="s">
        <v>59</v>
      </c>
      <c r="N119" s="25" t="s">
        <v>60</v>
      </c>
      <c r="O119" s="25" t="s">
        <v>299</v>
      </c>
      <c r="P119" s="43" t="s">
        <v>404</v>
      </c>
      <c r="Q119" s="28">
        <f t="shared" si="11"/>
        <v>1442000</v>
      </c>
      <c r="R119" s="44">
        <v>1</v>
      </c>
      <c r="S119" s="30">
        <v>16583000</v>
      </c>
      <c r="T119" s="31" t="s">
        <v>318</v>
      </c>
      <c r="U119" s="46" t="s">
        <v>68</v>
      </c>
      <c r="V119" s="46" t="s">
        <v>308</v>
      </c>
      <c r="W119" s="53">
        <v>11.5</v>
      </c>
      <c r="X119" s="34">
        <v>1</v>
      </c>
      <c r="Y119" s="47">
        <v>43102</v>
      </c>
      <c r="Z119" s="54">
        <v>16583000</v>
      </c>
      <c r="AA119" s="37"/>
      <c r="AB119" s="37">
        <v>3</v>
      </c>
      <c r="AC119" s="50">
        <v>43102</v>
      </c>
      <c r="AD119" s="39">
        <v>16583000</v>
      </c>
      <c r="AE119" s="39">
        <f t="shared" si="12"/>
        <v>0</v>
      </c>
      <c r="AF119" s="34">
        <v>152</v>
      </c>
      <c r="AG119" s="51">
        <v>43117</v>
      </c>
      <c r="AH119" s="39">
        <v>16583000</v>
      </c>
      <c r="AI119" s="18" t="s">
        <v>405</v>
      </c>
      <c r="AJ119" s="18">
        <v>155</v>
      </c>
      <c r="AK119" s="39">
        <f t="shared" si="7"/>
        <v>0</v>
      </c>
      <c r="AL119" s="39">
        <v>3508868.3</v>
      </c>
      <c r="AM119" s="39">
        <f t="shared" si="8"/>
        <v>13074131.699999999</v>
      </c>
      <c r="AN119" s="34"/>
      <c r="AO119" s="41">
        <f t="shared" si="9"/>
        <v>0</v>
      </c>
      <c r="AP119" s="34"/>
      <c r="AQ119" s="52">
        <v>43102</v>
      </c>
      <c r="AR119" s="24" t="s">
        <v>312</v>
      </c>
      <c r="AS119" s="52">
        <v>43102</v>
      </c>
      <c r="AT119" s="24" t="s">
        <v>313</v>
      </c>
    </row>
    <row r="120" spans="1:46" ht="114.75" x14ac:dyDescent="0.25">
      <c r="A120" s="18">
        <f t="shared" si="13"/>
        <v>115</v>
      </c>
      <c r="B120" s="19" t="str">
        <f t="shared" si="10"/>
        <v>208-115</v>
      </c>
      <c r="C120" s="20" t="s">
        <v>285</v>
      </c>
      <c r="D120" s="21" t="s">
        <v>286</v>
      </c>
      <c r="E120" s="22" t="s">
        <v>287</v>
      </c>
      <c r="F120" s="25" t="s">
        <v>53</v>
      </c>
      <c r="G120" s="42" t="s">
        <v>54</v>
      </c>
      <c r="H120" s="25" t="s">
        <v>305</v>
      </c>
      <c r="I120" s="25" t="s">
        <v>56</v>
      </c>
      <c r="J120" s="25" t="s">
        <v>57</v>
      </c>
      <c r="K120" s="18">
        <v>801116</v>
      </c>
      <c r="L120" s="25" t="s">
        <v>58</v>
      </c>
      <c r="M120" s="25" t="s">
        <v>59</v>
      </c>
      <c r="N120" s="25" t="s">
        <v>60</v>
      </c>
      <c r="O120" s="25" t="s">
        <v>299</v>
      </c>
      <c r="P120" s="43" t="s">
        <v>406</v>
      </c>
      <c r="Q120" s="28">
        <f t="shared" si="11"/>
        <v>750795.91304347827</v>
      </c>
      <c r="R120" s="44">
        <v>1</v>
      </c>
      <c r="S120" s="30">
        <f>14207043+2736195+7624500-11216700-4716885</f>
        <v>8634153</v>
      </c>
      <c r="T120" s="31" t="s">
        <v>318</v>
      </c>
      <c r="U120" s="46" t="s">
        <v>68</v>
      </c>
      <c r="V120" s="46" t="s">
        <v>308</v>
      </c>
      <c r="W120" s="53">
        <v>11.5</v>
      </c>
      <c r="X120" s="34"/>
      <c r="Y120" s="35"/>
      <c r="Z120" s="36"/>
      <c r="AA120" s="37"/>
      <c r="AB120" s="37"/>
      <c r="AC120" s="38"/>
      <c r="AD120" s="39"/>
      <c r="AE120" s="39">
        <f t="shared" si="12"/>
        <v>8634153</v>
      </c>
      <c r="AF120" s="34"/>
      <c r="AG120" s="40"/>
      <c r="AH120" s="39"/>
      <c r="AI120" s="18"/>
      <c r="AJ120" s="18"/>
      <c r="AK120" s="39">
        <f t="shared" si="7"/>
        <v>0</v>
      </c>
      <c r="AL120" s="39"/>
      <c r="AM120" s="39">
        <f t="shared" si="8"/>
        <v>0</v>
      </c>
      <c r="AN120" s="34"/>
      <c r="AO120" s="41">
        <f t="shared" si="9"/>
        <v>8634153</v>
      </c>
      <c r="AP120" s="34"/>
      <c r="AQ120" s="24"/>
      <c r="AR120" s="24"/>
      <c r="AS120" s="24"/>
      <c r="AT120" s="24"/>
    </row>
    <row r="121" spans="1:46" ht="102" x14ac:dyDescent="0.25">
      <c r="A121" s="18">
        <f t="shared" si="13"/>
        <v>116</v>
      </c>
      <c r="B121" s="19" t="str">
        <f t="shared" si="10"/>
        <v>208-116</v>
      </c>
      <c r="C121" s="20" t="s">
        <v>285</v>
      </c>
      <c r="D121" s="21" t="s">
        <v>286</v>
      </c>
      <c r="E121" s="42" t="s">
        <v>295</v>
      </c>
      <c r="F121" s="25" t="s">
        <v>53</v>
      </c>
      <c r="G121" s="42" t="s">
        <v>54</v>
      </c>
      <c r="H121" s="25" t="s">
        <v>305</v>
      </c>
      <c r="I121" s="25" t="s">
        <v>56</v>
      </c>
      <c r="J121" s="25" t="s">
        <v>57</v>
      </c>
      <c r="K121" s="18">
        <v>801116</v>
      </c>
      <c r="L121" s="25" t="s">
        <v>58</v>
      </c>
      <c r="M121" s="25" t="s">
        <v>59</v>
      </c>
      <c r="N121" s="25" t="s">
        <v>60</v>
      </c>
      <c r="O121" s="25" t="s">
        <v>299</v>
      </c>
      <c r="P121" s="43" t="s">
        <v>406</v>
      </c>
      <c r="Q121" s="28">
        <f t="shared" si="11"/>
        <v>1751857.1304347827</v>
      </c>
      <c r="R121" s="44">
        <v>1</v>
      </c>
      <c r="S121" s="30">
        <f>33149767+6384455+17790500-26172300-11006065</f>
        <v>20146357</v>
      </c>
      <c r="T121" s="31" t="s">
        <v>318</v>
      </c>
      <c r="U121" s="46" t="s">
        <v>68</v>
      </c>
      <c r="V121" s="46" t="s">
        <v>308</v>
      </c>
      <c r="W121" s="53">
        <v>11.5</v>
      </c>
      <c r="X121" s="34"/>
      <c r="Y121" s="35"/>
      <c r="Z121" s="36"/>
      <c r="AA121" s="37"/>
      <c r="AB121" s="37"/>
      <c r="AC121" s="38"/>
      <c r="AD121" s="39"/>
      <c r="AE121" s="39">
        <f t="shared" si="12"/>
        <v>20146357</v>
      </c>
      <c r="AF121" s="34"/>
      <c r="AG121" s="40"/>
      <c r="AH121" s="39"/>
      <c r="AI121" s="18"/>
      <c r="AJ121" s="18"/>
      <c r="AK121" s="39">
        <f t="shared" si="7"/>
        <v>0</v>
      </c>
      <c r="AL121" s="39"/>
      <c r="AM121" s="39">
        <f t="shared" si="8"/>
        <v>0</v>
      </c>
      <c r="AN121" s="34"/>
      <c r="AO121" s="41">
        <f t="shared" si="9"/>
        <v>20146357</v>
      </c>
      <c r="AP121" s="34"/>
      <c r="AQ121" s="24"/>
      <c r="AR121" s="24"/>
      <c r="AS121" s="24"/>
      <c r="AT121" s="24"/>
    </row>
    <row r="122" spans="1:46" ht="114.75" x14ac:dyDescent="0.25">
      <c r="A122" s="18">
        <f t="shared" si="13"/>
        <v>117</v>
      </c>
      <c r="B122" s="19" t="str">
        <f t="shared" si="10"/>
        <v>208-117</v>
      </c>
      <c r="C122" s="20" t="s">
        <v>285</v>
      </c>
      <c r="D122" s="21" t="s">
        <v>286</v>
      </c>
      <c r="E122" s="22" t="s">
        <v>287</v>
      </c>
      <c r="F122" s="25" t="s">
        <v>53</v>
      </c>
      <c r="G122" s="42" t="s">
        <v>54</v>
      </c>
      <c r="H122" s="25" t="s">
        <v>305</v>
      </c>
      <c r="I122" s="25" t="s">
        <v>56</v>
      </c>
      <c r="J122" s="25" t="s">
        <v>57</v>
      </c>
      <c r="K122" s="18">
        <v>801116</v>
      </c>
      <c r="L122" s="25" t="s">
        <v>58</v>
      </c>
      <c r="M122" s="25" t="s">
        <v>59</v>
      </c>
      <c r="N122" s="25" t="s">
        <v>60</v>
      </c>
      <c r="O122" s="25" t="s">
        <v>299</v>
      </c>
      <c r="P122" s="43" t="s">
        <v>352</v>
      </c>
      <c r="Q122" s="28">
        <f t="shared" si="11"/>
        <v>975365.21739130432</v>
      </c>
      <c r="R122" s="44">
        <v>1</v>
      </c>
      <c r="S122" s="30">
        <v>11216700</v>
      </c>
      <c r="T122" s="31" t="s">
        <v>318</v>
      </c>
      <c r="U122" s="46" t="s">
        <v>68</v>
      </c>
      <c r="V122" s="46" t="s">
        <v>308</v>
      </c>
      <c r="W122" s="53">
        <v>11.5</v>
      </c>
      <c r="X122" s="34" t="s">
        <v>407</v>
      </c>
      <c r="Y122" s="47"/>
      <c r="Z122" s="54"/>
      <c r="AA122" s="37"/>
      <c r="AB122" s="37"/>
      <c r="AC122" s="38"/>
      <c r="AD122" s="39"/>
      <c r="AE122" s="39">
        <f t="shared" si="12"/>
        <v>11216700</v>
      </c>
      <c r="AF122" s="34"/>
      <c r="AG122" s="40"/>
      <c r="AH122" s="39"/>
      <c r="AI122" s="18"/>
      <c r="AJ122" s="18"/>
      <c r="AK122" s="39">
        <f t="shared" si="7"/>
        <v>0</v>
      </c>
      <c r="AL122" s="39"/>
      <c r="AM122" s="39">
        <f t="shared" si="8"/>
        <v>0</v>
      </c>
      <c r="AN122" s="34"/>
      <c r="AO122" s="41">
        <f t="shared" si="9"/>
        <v>11216700</v>
      </c>
      <c r="AP122" s="34"/>
      <c r="AQ122" s="52">
        <v>43118</v>
      </c>
      <c r="AR122" s="24" t="s">
        <v>312</v>
      </c>
      <c r="AS122" s="52">
        <v>43118</v>
      </c>
      <c r="AT122" s="24" t="s">
        <v>313</v>
      </c>
    </row>
    <row r="123" spans="1:46" ht="102" x14ac:dyDescent="0.25">
      <c r="A123" s="18">
        <f t="shared" si="13"/>
        <v>118</v>
      </c>
      <c r="B123" s="19" t="str">
        <f t="shared" si="10"/>
        <v>208-118</v>
      </c>
      <c r="C123" s="20" t="s">
        <v>285</v>
      </c>
      <c r="D123" s="21" t="s">
        <v>286</v>
      </c>
      <c r="E123" s="42" t="s">
        <v>295</v>
      </c>
      <c r="F123" s="25" t="s">
        <v>53</v>
      </c>
      <c r="G123" s="42" t="s">
        <v>54</v>
      </c>
      <c r="H123" s="25" t="s">
        <v>305</v>
      </c>
      <c r="I123" s="25" t="s">
        <v>56</v>
      </c>
      <c r="J123" s="25" t="s">
        <v>57</v>
      </c>
      <c r="K123" s="18">
        <v>801116</v>
      </c>
      <c r="L123" s="25" t="s">
        <v>58</v>
      </c>
      <c r="M123" s="25" t="s">
        <v>59</v>
      </c>
      <c r="N123" s="25" t="s">
        <v>60</v>
      </c>
      <c r="O123" s="25" t="s">
        <v>299</v>
      </c>
      <c r="P123" s="27" t="s">
        <v>352</v>
      </c>
      <c r="Q123" s="28">
        <f t="shared" si="11"/>
        <v>2275852.1739130435</v>
      </c>
      <c r="R123" s="29">
        <v>1</v>
      </c>
      <c r="S123" s="56">
        <v>26172300</v>
      </c>
      <c r="T123" s="57" t="s">
        <v>318</v>
      </c>
      <c r="U123" s="32" t="s">
        <v>68</v>
      </c>
      <c r="V123" s="46" t="s">
        <v>308</v>
      </c>
      <c r="W123" s="58">
        <v>11.5</v>
      </c>
      <c r="X123" s="59" t="s">
        <v>408</v>
      </c>
      <c r="Y123" s="60"/>
      <c r="Z123" s="61"/>
      <c r="AA123" s="62"/>
      <c r="AB123" s="62"/>
      <c r="AC123" s="63"/>
      <c r="AD123" s="64"/>
      <c r="AE123" s="39">
        <f t="shared" si="12"/>
        <v>26172300</v>
      </c>
      <c r="AF123" s="59"/>
      <c r="AG123" s="65"/>
      <c r="AH123" s="64"/>
      <c r="AI123" s="66"/>
      <c r="AJ123" s="66"/>
      <c r="AK123" s="39">
        <f t="shared" si="7"/>
        <v>0</v>
      </c>
      <c r="AL123" s="64"/>
      <c r="AM123" s="64">
        <f t="shared" si="8"/>
        <v>0</v>
      </c>
      <c r="AN123" s="59"/>
      <c r="AO123" s="67">
        <f t="shared" si="9"/>
        <v>26172300</v>
      </c>
      <c r="AP123" s="59"/>
      <c r="AQ123" s="68">
        <v>43118</v>
      </c>
      <c r="AR123" s="69" t="s">
        <v>312</v>
      </c>
      <c r="AS123" s="68">
        <v>43118</v>
      </c>
      <c r="AT123" s="69" t="s">
        <v>313</v>
      </c>
    </row>
    <row r="124" spans="1:46" ht="102.75" x14ac:dyDescent="0.25">
      <c r="A124" s="18">
        <f t="shared" si="13"/>
        <v>119</v>
      </c>
      <c r="B124" s="19" t="str">
        <f t="shared" si="10"/>
        <v>208-119</v>
      </c>
      <c r="C124" s="20" t="s">
        <v>285</v>
      </c>
      <c r="D124" s="21" t="s">
        <v>286</v>
      </c>
      <c r="E124" s="42" t="s">
        <v>295</v>
      </c>
      <c r="F124" s="23" t="s">
        <v>253</v>
      </c>
      <c r="G124" s="22" t="s">
        <v>288</v>
      </c>
      <c r="H124" s="23" t="s">
        <v>289</v>
      </c>
      <c r="I124" s="24" t="s">
        <v>290</v>
      </c>
      <c r="J124" s="25" t="s">
        <v>291</v>
      </c>
      <c r="K124" s="70"/>
      <c r="L124" s="25" t="s">
        <v>58</v>
      </c>
      <c r="M124" s="25" t="s">
        <v>59</v>
      </c>
      <c r="N124" s="25" t="s">
        <v>60</v>
      </c>
      <c r="O124" s="25" t="s">
        <v>292</v>
      </c>
      <c r="P124" s="70" t="s">
        <v>409</v>
      </c>
      <c r="Q124" s="28">
        <v>19967239</v>
      </c>
      <c r="R124" s="70">
        <v>1</v>
      </c>
      <c r="S124" s="30">
        <v>19967239</v>
      </c>
      <c r="T124" s="70"/>
      <c r="U124" s="71" t="s">
        <v>410</v>
      </c>
      <c r="V124" s="72" t="s">
        <v>411</v>
      </c>
      <c r="W124" s="70"/>
      <c r="X124" s="18">
        <v>119</v>
      </c>
      <c r="Y124" s="52">
        <v>43137</v>
      </c>
      <c r="Z124" s="73">
        <v>19967239</v>
      </c>
      <c r="AA124" s="73" t="s">
        <v>412</v>
      </c>
      <c r="AB124" s="24">
        <v>632</v>
      </c>
      <c r="AC124" s="52">
        <v>43137</v>
      </c>
      <c r="AD124" s="74">
        <v>19967239</v>
      </c>
      <c r="AE124" s="39">
        <f t="shared" si="12"/>
        <v>0</v>
      </c>
      <c r="AF124" s="71">
        <v>1281</v>
      </c>
      <c r="AG124" s="75">
        <v>43144</v>
      </c>
      <c r="AH124" s="74">
        <v>19967239</v>
      </c>
      <c r="AI124" s="71" t="s">
        <v>413</v>
      </c>
      <c r="AJ124" s="24">
        <v>597</v>
      </c>
      <c r="AK124" s="39">
        <f t="shared" si="7"/>
        <v>0</v>
      </c>
      <c r="AL124" s="74"/>
      <c r="AM124" s="39">
        <f t="shared" si="8"/>
        <v>19967239</v>
      </c>
      <c r="AN124" s="24"/>
      <c r="AO124" s="24">
        <f t="shared" si="9"/>
        <v>0</v>
      </c>
      <c r="AP124" s="24"/>
      <c r="AQ124" s="24"/>
      <c r="AR124" s="24"/>
      <c r="AS124" s="24"/>
      <c r="AT124" s="24"/>
    </row>
    <row r="125" spans="1:46" ht="114.75" x14ac:dyDescent="0.25">
      <c r="A125" s="18">
        <f>A124+1</f>
        <v>120</v>
      </c>
      <c r="B125" s="19" t="str">
        <f t="shared" si="10"/>
        <v>208-120</v>
      </c>
      <c r="C125" s="20" t="s">
        <v>285</v>
      </c>
      <c r="D125" s="21" t="s">
        <v>286</v>
      </c>
      <c r="E125" s="22" t="s">
        <v>287</v>
      </c>
      <c r="F125" s="23" t="s">
        <v>253</v>
      </c>
      <c r="G125" s="22" t="s">
        <v>288</v>
      </c>
      <c r="H125" s="23" t="s">
        <v>289</v>
      </c>
      <c r="I125" s="25" t="s">
        <v>56</v>
      </c>
      <c r="J125" s="25" t="s">
        <v>57</v>
      </c>
      <c r="K125" s="26"/>
      <c r="L125" s="25"/>
      <c r="M125" s="25"/>
      <c r="N125" s="25"/>
      <c r="O125" s="25"/>
      <c r="P125" s="27" t="s">
        <v>414</v>
      </c>
      <c r="Q125" s="28">
        <f>(S125/W125)/R125</f>
        <v>1783423705</v>
      </c>
      <c r="R125" s="29">
        <v>1</v>
      </c>
      <c r="S125" s="30">
        <f>535027112+601423705+646972888</f>
        <v>1783423705</v>
      </c>
      <c r="T125" s="31"/>
      <c r="U125" s="19" t="s">
        <v>199</v>
      </c>
      <c r="V125" s="32" t="s">
        <v>294</v>
      </c>
      <c r="W125" s="33">
        <v>1</v>
      </c>
      <c r="X125" s="34" t="s">
        <v>415</v>
      </c>
      <c r="Y125" s="51">
        <v>43166</v>
      </c>
      <c r="Z125" s="30">
        <f>535027112+601423705+646972888</f>
        <v>1783423705</v>
      </c>
      <c r="AA125" s="37"/>
      <c r="AB125" s="37">
        <v>704</v>
      </c>
      <c r="AC125" s="50">
        <v>43167</v>
      </c>
      <c r="AD125" s="30">
        <v>1783423705</v>
      </c>
      <c r="AE125" s="39"/>
      <c r="AF125" s="34"/>
      <c r="AG125" s="40"/>
      <c r="AH125" s="39"/>
      <c r="AI125" s="18"/>
      <c r="AJ125" s="18"/>
      <c r="AK125" s="39">
        <f t="shared" si="7"/>
        <v>1783423705</v>
      </c>
      <c r="AL125" s="39"/>
      <c r="AM125" s="39">
        <f t="shared" si="8"/>
        <v>0</v>
      </c>
      <c r="AN125" s="34"/>
      <c r="AO125" s="41">
        <f>S125-AH125</f>
        <v>1783423705</v>
      </c>
      <c r="AP125" s="34"/>
      <c r="AQ125" s="24"/>
      <c r="AR125" s="24"/>
      <c r="AS125" s="24"/>
      <c r="AT125" s="24"/>
    </row>
    <row r="126" spans="1:46" ht="102" x14ac:dyDescent="0.25">
      <c r="A126" s="18">
        <f>A125+1</f>
        <v>121</v>
      </c>
      <c r="B126" s="19" t="str">
        <f t="shared" si="10"/>
        <v>208-121</v>
      </c>
      <c r="C126" s="20" t="s">
        <v>285</v>
      </c>
      <c r="D126" s="21" t="s">
        <v>286</v>
      </c>
      <c r="E126" s="42" t="s">
        <v>295</v>
      </c>
      <c r="F126" s="23" t="s">
        <v>253</v>
      </c>
      <c r="G126" s="22" t="s">
        <v>288</v>
      </c>
      <c r="H126" s="23" t="s">
        <v>289</v>
      </c>
      <c r="I126" s="25" t="s">
        <v>56</v>
      </c>
      <c r="J126" s="25" t="s">
        <v>57</v>
      </c>
      <c r="K126" s="26"/>
      <c r="L126" s="25"/>
      <c r="M126" s="25"/>
      <c r="N126" s="25"/>
      <c r="O126" s="25"/>
      <c r="P126" s="27" t="s">
        <v>414</v>
      </c>
      <c r="Q126" s="28">
        <f t="shared" ref="Q126" si="14">(S126/W126)/R126</f>
        <v>646972888</v>
      </c>
      <c r="R126" s="44">
        <v>1</v>
      </c>
      <c r="S126" s="30">
        <f>1248396593-601423705</f>
        <v>646972888</v>
      </c>
      <c r="T126" s="31"/>
      <c r="U126" s="19" t="s">
        <v>199</v>
      </c>
      <c r="V126" s="32" t="s">
        <v>411</v>
      </c>
      <c r="W126" s="45">
        <v>1</v>
      </c>
      <c r="X126" s="34" t="s">
        <v>416</v>
      </c>
      <c r="Y126" s="47">
        <v>43154</v>
      </c>
      <c r="Z126" s="30">
        <v>1248396593</v>
      </c>
      <c r="AA126" s="37"/>
      <c r="AB126" s="37"/>
      <c r="AC126" s="50"/>
      <c r="AD126" s="30"/>
      <c r="AE126" s="39"/>
      <c r="AF126" s="34"/>
      <c r="AG126" s="40"/>
      <c r="AH126" s="39"/>
      <c r="AI126" s="18"/>
      <c r="AJ126" s="18"/>
      <c r="AK126" s="39">
        <f t="shared" si="7"/>
        <v>0</v>
      </c>
      <c r="AL126" s="39"/>
      <c r="AM126" s="39">
        <f t="shared" si="8"/>
        <v>0</v>
      </c>
      <c r="AN126" s="34"/>
      <c r="AO126" s="41">
        <f>S126-AH126</f>
        <v>646972888</v>
      </c>
      <c r="AP126" s="34"/>
      <c r="AQ126" s="24"/>
      <c r="AR126" s="24"/>
      <c r="AS126" s="24"/>
      <c r="AT126" s="24"/>
    </row>
    <row r="127" spans="1:46" ht="114.75" x14ac:dyDescent="0.25">
      <c r="A127" s="18">
        <v>122</v>
      </c>
      <c r="B127" s="19" t="str">
        <f>+CONCATENATE("208-",A127)</f>
        <v>208-122</v>
      </c>
      <c r="C127" s="20" t="s">
        <v>285</v>
      </c>
      <c r="D127" s="21" t="s">
        <v>286</v>
      </c>
      <c r="E127" s="22" t="s">
        <v>287</v>
      </c>
      <c r="F127" s="23" t="s">
        <v>253</v>
      </c>
      <c r="G127" s="22" t="s">
        <v>288</v>
      </c>
      <c r="H127" s="23" t="s">
        <v>289</v>
      </c>
      <c r="I127" s="25" t="s">
        <v>56</v>
      </c>
      <c r="J127" s="25" t="s">
        <v>57</v>
      </c>
      <c r="K127" s="26"/>
      <c r="L127" s="25" t="s">
        <v>58</v>
      </c>
      <c r="M127" s="25" t="s">
        <v>59</v>
      </c>
      <c r="N127" s="25" t="s">
        <v>60</v>
      </c>
      <c r="O127" s="25" t="s">
        <v>292</v>
      </c>
      <c r="P127" s="27" t="s">
        <v>293</v>
      </c>
      <c r="Q127" s="28">
        <f>(S127/W127)/R127</f>
        <v>0</v>
      </c>
      <c r="R127" s="29">
        <v>1</v>
      </c>
      <c r="S127" s="30">
        <f>646972888-646972888</f>
        <v>0</v>
      </c>
      <c r="T127" s="31" t="s">
        <v>417</v>
      </c>
      <c r="U127" s="19" t="s">
        <v>199</v>
      </c>
      <c r="V127" s="32" t="s">
        <v>294</v>
      </c>
      <c r="W127" s="33">
        <v>7</v>
      </c>
      <c r="X127" s="34"/>
      <c r="Y127" s="35"/>
      <c r="Z127" s="36"/>
      <c r="AA127" s="37"/>
      <c r="AB127" s="37"/>
      <c r="AC127" s="38"/>
      <c r="AD127" s="39"/>
      <c r="AE127" s="39">
        <f>S127-AD127</f>
        <v>0</v>
      </c>
      <c r="AF127" s="34"/>
      <c r="AG127" s="40"/>
      <c r="AH127" s="39"/>
      <c r="AI127" s="18"/>
      <c r="AJ127" s="18"/>
      <c r="AK127" s="39">
        <f t="shared" si="7"/>
        <v>0</v>
      </c>
      <c r="AL127" s="39"/>
      <c r="AM127" s="39">
        <f t="shared" si="8"/>
        <v>0</v>
      </c>
      <c r="AN127" s="34"/>
      <c r="AO127" s="41">
        <f t="shared" ref="AO127:AO130" si="15">S127-AH127</f>
        <v>0</v>
      </c>
      <c r="AP127" s="34"/>
      <c r="AQ127" s="24"/>
      <c r="AR127" s="24"/>
      <c r="AS127" s="24"/>
      <c r="AT127" s="24"/>
    </row>
    <row r="128" spans="1:46" ht="102" x14ac:dyDescent="0.25">
      <c r="A128" s="18">
        <f>A127+1</f>
        <v>123</v>
      </c>
      <c r="B128" s="19" t="str">
        <f t="shared" ref="B128:B130" si="16">+CONCATENATE("208-",A128)</f>
        <v>208-123</v>
      </c>
      <c r="C128" s="20" t="s">
        <v>285</v>
      </c>
      <c r="D128" s="21" t="s">
        <v>286</v>
      </c>
      <c r="E128" s="42" t="s">
        <v>295</v>
      </c>
      <c r="F128" s="23" t="s">
        <v>253</v>
      </c>
      <c r="G128" s="22" t="s">
        <v>288</v>
      </c>
      <c r="H128" s="23" t="s">
        <v>289</v>
      </c>
      <c r="I128" s="25" t="s">
        <v>56</v>
      </c>
      <c r="J128" s="25" t="s">
        <v>57</v>
      </c>
      <c r="K128" s="26"/>
      <c r="L128" s="25" t="s">
        <v>58</v>
      </c>
      <c r="M128" s="25" t="s">
        <v>59</v>
      </c>
      <c r="N128" s="25" t="s">
        <v>60</v>
      </c>
      <c r="O128" s="25" t="s">
        <v>292</v>
      </c>
      <c r="P128" s="43" t="s">
        <v>296</v>
      </c>
      <c r="Q128" s="28">
        <f t="shared" ref="Q128:Q130" si="17">(S128/W128)/R128</f>
        <v>215657629.57142857</v>
      </c>
      <c r="R128" s="44">
        <v>1</v>
      </c>
      <c r="S128" s="30">
        <f>1509603406+1</f>
        <v>1509603407</v>
      </c>
      <c r="T128" s="31" t="s">
        <v>418</v>
      </c>
      <c r="U128" s="19" t="s">
        <v>199</v>
      </c>
      <c r="V128" s="32" t="s">
        <v>294</v>
      </c>
      <c r="W128" s="45">
        <v>7</v>
      </c>
      <c r="X128" s="34"/>
      <c r="Y128" s="35"/>
      <c r="Z128" s="36"/>
      <c r="AA128" s="37"/>
      <c r="AB128" s="37"/>
      <c r="AC128" s="38"/>
      <c r="AD128" s="39"/>
      <c r="AE128" s="39">
        <f t="shared" ref="AE128:AE130" si="18">S128-AD128</f>
        <v>1509603407</v>
      </c>
      <c r="AF128" s="34"/>
      <c r="AG128" s="40"/>
      <c r="AH128" s="39"/>
      <c r="AI128" s="18"/>
      <c r="AJ128" s="18"/>
      <c r="AK128" s="39">
        <f t="shared" si="7"/>
        <v>0</v>
      </c>
      <c r="AL128" s="39"/>
      <c r="AM128" s="39">
        <f t="shared" si="8"/>
        <v>0</v>
      </c>
      <c r="AN128" s="34"/>
      <c r="AO128" s="41">
        <f t="shared" si="15"/>
        <v>1509603407</v>
      </c>
      <c r="AP128" s="34"/>
      <c r="AQ128" s="24"/>
      <c r="AR128" s="24"/>
      <c r="AS128" s="24"/>
      <c r="AT128" s="24"/>
    </row>
    <row r="129" spans="1:46" ht="153" x14ac:dyDescent="0.25">
      <c r="A129" s="18">
        <f>A128+1</f>
        <v>124</v>
      </c>
      <c r="B129" s="19" t="str">
        <f t="shared" si="16"/>
        <v>208-124</v>
      </c>
      <c r="C129" s="20" t="s">
        <v>285</v>
      </c>
      <c r="D129" s="21" t="s">
        <v>286</v>
      </c>
      <c r="E129" s="42" t="s">
        <v>295</v>
      </c>
      <c r="F129" s="23" t="s">
        <v>253</v>
      </c>
      <c r="G129" s="22" t="s">
        <v>288</v>
      </c>
      <c r="H129" s="23" t="s">
        <v>289</v>
      </c>
      <c r="I129" s="24" t="s">
        <v>290</v>
      </c>
      <c r="J129" s="25" t="s">
        <v>291</v>
      </c>
      <c r="K129" s="26"/>
      <c r="L129" s="25" t="s">
        <v>58</v>
      </c>
      <c r="M129" s="25" t="s">
        <v>59</v>
      </c>
      <c r="N129" s="25" t="s">
        <v>60</v>
      </c>
      <c r="O129" s="25" t="s">
        <v>292</v>
      </c>
      <c r="P129" s="43" t="s">
        <v>419</v>
      </c>
      <c r="Q129" s="28">
        <f t="shared" si="17"/>
        <v>165798315.5</v>
      </c>
      <c r="R129" s="44">
        <v>1</v>
      </c>
      <c r="S129" s="30">
        <v>331596631</v>
      </c>
      <c r="T129" s="31"/>
      <c r="U129" s="19" t="s">
        <v>410</v>
      </c>
      <c r="V129" s="32" t="s">
        <v>294</v>
      </c>
      <c r="W129" s="45">
        <v>2</v>
      </c>
      <c r="X129" s="34">
        <v>122</v>
      </c>
      <c r="Y129" s="51">
        <v>43165</v>
      </c>
      <c r="Z129" s="39">
        <v>331596631</v>
      </c>
      <c r="AA129" s="37"/>
      <c r="AB129" s="37">
        <v>698</v>
      </c>
      <c r="AC129" s="50">
        <v>43165</v>
      </c>
      <c r="AD129" s="39">
        <v>331596631</v>
      </c>
      <c r="AE129" s="39">
        <f t="shared" si="18"/>
        <v>0</v>
      </c>
      <c r="AF129" s="34">
        <v>1547</v>
      </c>
      <c r="AG129" s="51">
        <v>43168</v>
      </c>
      <c r="AH129" s="39">
        <v>331596631</v>
      </c>
      <c r="AI129" s="18" t="s">
        <v>420</v>
      </c>
      <c r="AJ129" s="18">
        <v>584</v>
      </c>
      <c r="AK129" s="39">
        <f t="shared" si="7"/>
        <v>0</v>
      </c>
      <c r="AL129" s="39">
        <v>303409338</v>
      </c>
      <c r="AM129" s="39">
        <f t="shared" si="8"/>
        <v>28187293</v>
      </c>
      <c r="AN129" s="34"/>
      <c r="AO129" s="41">
        <f t="shared" si="15"/>
        <v>0</v>
      </c>
      <c r="AP129" s="34"/>
      <c r="AQ129" s="24"/>
      <c r="AR129" s="24"/>
      <c r="AS129" s="24"/>
      <c r="AT129" s="24"/>
    </row>
    <row r="130" spans="1:46" ht="229.5" x14ac:dyDescent="0.25">
      <c r="A130" s="18">
        <f>A129+1</f>
        <v>125</v>
      </c>
      <c r="B130" s="19" t="str">
        <f t="shared" si="16"/>
        <v>208-125</v>
      </c>
      <c r="C130" s="20" t="s">
        <v>285</v>
      </c>
      <c r="D130" s="21" t="s">
        <v>286</v>
      </c>
      <c r="E130" s="42" t="s">
        <v>295</v>
      </c>
      <c r="F130" s="23" t="s">
        <v>253</v>
      </c>
      <c r="G130" s="22" t="s">
        <v>288</v>
      </c>
      <c r="H130" s="23" t="s">
        <v>289</v>
      </c>
      <c r="I130" s="24" t="s">
        <v>290</v>
      </c>
      <c r="J130" s="25" t="s">
        <v>291</v>
      </c>
      <c r="K130" s="26"/>
      <c r="L130" s="25" t="s">
        <v>58</v>
      </c>
      <c r="M130" s="25" t="s">
        <v>59</v>
      </c>
      <c r="N130" s="25" t="s">
        <v>60</v>
      </c>
      <c r="O130" s="25" t="s">
        <v>292</v>
      </c>
      <c r="P130" s="43" t="s">
        <v>421</v>
      </c>
      <c r="Q130" s="28">
        <f t="shared" si="17"/>
        <v>45376410</v>
      </c>
      <c r="R130" s="44">
        <v>1</v>
      </c>
      <c r="S130" s="30">
        <v>90752820</v>
      </c>
      <c r="T130" s="31"/>
      <c r="U130" s="19" t="s">
        <v>410</v>
      </c>
      <c r="V130" s="32" t="s">
        <v>294</v>
      </c>
      <c r="W130" s="45">
        <v>2</v>
      </c>
      <c r="X130" s="34">
        <v>123</v>
      </c>
      <c r="Y130" s="51">
        <v>43165</v>
      </c>
      <c r="Z130" s="39">
        <v>90752820</v>
      </c>
      <c r="AA130" s="37"/>
      <c r="AB130" s="37">
        <v>699</v>
      </c>
      <c r="AC130" s="50">
        <v>43165</v>
      </c>
      <c r="AD130" s="39">
        <v>90752820</v>
      </c>
      <c r="AE130" s="39">
        <f t="shared" si="18"/>
        <v>0</v>
      </c>
      <c r="AF130" s="34">
        <v>1546</v>
      </c>
      <c r="AG130" s="51">
        <v>43168</v>
      </c>
      <c r="AH130" s="39">
        <v>90752820</v>
      </c>
      <c r="AI130" s="18" t="s">
        <v>422</v>
      </c>
      <c r="AJ130" s="18">
        <v>593</v>
      </c>
      <c r="AK130" s="39">
        <f t="shared" si="7"/>
        <v>0</v>
      </c>
      <c r="AL130" s="39">
        <v>55319755</v>
      </c>
      <c r="AM130" s="39">
        <f t="shared" si="8"/>
        <v>35433065</v>
      </c>
      <c r="AN130" s="34"/>
      <c r="AO130" s="41">
        <f t="shared" si="15"/>
        <v>0</v>
      </c>
      <c r="AP130" s="34"/>
      <c r="AQ130" s="24"/>
      <c r="AR130" s="24"/>
      <c r="AS130" s="24"/>
      <c r="AT130" s="24"/>
    </row>
    <row r="131" spans="1:46" ht="115.5" x14ac:dyDescent="0.25">
      <c r="A131" s="114">
        <v>1</v>
      </c>
      <c r="B131" s="114" t="s">
        <v>423</v>
      </c>
      <c r="C131" s="98" t="s">
        <v>424</v>
      </c>
      <c r="D131" s="18" t="s">
        <v>425</v>
      </c>
      <c r="E131" s="114" t="s">
        <v>426</v>
      </c>
      <c r="F131" s="18" t="s">
        <v>53</v>
      </c>
      <c r="G131" s="18" t="s">
        <v>54</v>
      </c>
      <c r="H131" s="99" t="s">
        <v>427</v>
      </c>
      <c r="I131" s="18" t="s">
        <v>56</v>
      </c>
      <c r="J131" s="18" t="s">
        <v>57</v>
      </c>
      <c r="K131" s="76">
        <v>801116</v>
      </c>
      <c r="L131" s="76" t="s">
        <v>428</v>
      </c>
      <c r="M131" s="114" t="s">
        <v>59</v>
      </c>
      <c r="N131" s="114" t="s">
        <v>60</v>
      </c>
      <c r="O131" s="77" t="s">
        <v>429</v>
      </c>
      <c r="P131" s="114" t="s">
        <v>430</v>
      </c>
      <c r="Q131" s="115">
        <v>6180000</v>
      </c>
      <c r="R131" s="116">
        <v>1</v>
      </c>
      <c r="S131" s="117">
        <f>+Q131*R131*W131</f>
        <v>71070000</v>
      </c>
      <c r="T131" s="118" t="s">
        <v>431</v>
      </c>
      <c r="U131" s="255" t="s">
        <v>432</v>
      </c>
      <c r="V131" s="119" t="s">
        <v>308</v>
      </c>
      <c r="W131" s="255">
        <v>11.5</v>
      </c>
      <c r="X131" s="256" t="s">
        <v>433</v>
      </c>
      <c r="Y131" s="120">
        <v>43104</v>
      </c>
      <c r="Z131" s="121">
        <f>S131</f>
        <v>71070000</v>
      </c>
      <c r="AA131" s="256"/>
      <c r="AB131" s="256">
        <v>212</v>
      </c>
      <c r="AC131" s="122">
        <v>43105</v>
      </c>
      <c r="AD131" s="115">
        <v>71070000</v>
      </c>
      <c r="AE131" s="123">
        <f>AD131-AL131</f>
        <v>33990000</v>
      </c>
      <c r="AF131" s="124">
        <v>379</v>
      </c>
      <c r="AG131" s="122">
        <v>43124</v>
      </c>
      <c r="AH131" s="115">
        <v>37080000</v>
      </c>
      <c r="AI131" s="125" t="s">
        <v>434</v>
      </c>
      <c r="AJ131" s="256">
        <v>305</v>
      </c>
      <c r="AK131" s="126"/>
      <c r="AL131" s="123">
        <f>AH131</f>
        <v>37080000</v>
      </c>
      <c r="AM131" s="123">
        <v>14008000</v>
      </c>
      <c r="AN131" s="123">
        <f>AL131-AM131</f>
        <v>23072000</v>
      </c>
      <c r="AO131" s="125" t="s">
        <v>435</v>
      </c>
      <c r="AP131" s="127">
        <f>AE131</f>
        <v>33990000</v>
      </c>
      <c r="AQ131" s="128"/>
      <c r="AR131" s="128"/>
      <c r="AS131" s="128"/>
      <c r="AT131" s="128"/>
    </row>
    <row r="132" spans="1:46" ht="102.75" x14ac:dyDescent="0.25">
      <c r="A132" s="114">
        <v>2</v>
      </c>
      <c r="B132" s="114" t="s">
        <v>436</v>
      </c>
      <c r="C132" s="98" t="s">
        <v>424</v>
      </c>
      <c r="D132" s="18" t="s">
        <v>425</v>
      </c>
      <c r="E132" s="114" t="s">
        <v>426</v>
      </c>
      <c r="F132" s="18" t="s">
        <v>53</v>
      </c>
      <c r="G132" s="18" t="s">
        <v>54</v>
      </c>
      <c r="H132" s="99" t="s">
        <v>427</v>
      </c>
      <c r="I132" s="18" t="s">
        <v>56</v>
      </c>
      <c r="J132" s="18" t="s">
        <v>57</v>
      </c>
      <c r="K132" s="76">
        <v>801116</v>
      </c>
      <c r="L132" s="76" t="s">
        <v>428</v>
      </c>
      <c r="M132" s="114" t="s">
        <v>59</v>
      </c>
      <c r="N132" s="114" t="s">
        <v>60</v>
      </c>
      <c r="O132" s="77" t="s">
        <v>429</v>
      </c>
      <c r="P132" s="114" t="s">
        <v>437</v>
      </c>
      <c r="Q132" s="115">
        <v>3090000</v>
      </c>
      <c r="R132" s="116">
        <v>1</v>
      </c>
      <c r="S132" s="117">
        <f t="shared" ref="S132:S195" si="19">+Q132*R132*W132</f>
        <v>35535000</v>
      </c>
      <c r="T132" s="255" t="s">
        <v>431</v>
      </c>
      <c r="U132" s="255" t="s">
        <v>432</v>
      </c>
      <c r="V132" s="119" t="s">
        <v>308</v>
      </c>
      <c r="W132" s="255">
        <v>11.5</v>
      </c>
      <c r="X132" s="256" t="s">
        <v>438</v>
      </c>
      <c r="Y132" s="120">
        <v>43104</v>
      </c>
      <c r="Z132" s="121">
        <f t="shared" ref="Z132:Z195" si="20">S132</f>
        <v>35535000</v>
      </c>
      <c r="AA132" s="256"/>
      <c r="AB132" s="256">
        <v>214</v>
      </c>
      <c r="AC132" s="122">
        <v>43105</v>
      </c>
      <c r="AD132" s="115">
        <v>35535000</v>
      </c>
      <c r="AE132" s="129">
        <f>AD132-AL132</f>
        <v>0</v>
      </c>
      <c r="AF132" s="124">
        <v>157</v>
      </c>
      <c r="AG132" s="122">
        <v>43118</v>
      </c>
      <c r="AH132" s="123">
        <f>AD132</f>
        <v>35535000</v>
      </c>
      <c r="AI132" s="125" t="s">
        <v>439</v>
      </c>
      <c r="AJ132" s="256">
        <v>126</v>
      </c>
      <c r="AK132" s="126"/>
      <c r="AL132" s="123">
        <f>AH132</f>
        <v>35535000</v>
      </c>
      <c r="AM132" s="123">
        <v>7519000</v>
      </c>
      <c r="AN132" s="123">
        <f>AL132-AM132</f>
        <v>28016000</v>
      </c>
      <c r="AO132" s="125" t="s">
        <v>435</v>
      </c>
      <c r="AP132" s="128"/>
      <c r="AQ132" s="128"/>
      <c r="AR132" s="128"/>
      <c r="AS132" s="128"/>
      <c r="AT132" s="128"/>
    </row>
    <row r="133" spans="1:46" ht="165.75" x14ac:dyDescent="0.25">
      <c r="A133" s="114">
        <v>3</v>
      </c>
      <c r="B133" s="114" t="s">
        <v>440</v>
      </c>
      <c r="C133" s="98" t="s">
        <v>424</v>
      </c>
      <c r="D133" s="18" t="s">
        <v>425</v>
      </c>
      <c r="E133" s="114" t="s">
        <v>426</v>
      </c>
      <c r="F133" s="18" t="s">
        <v>53</v>
      </c>
      <c r="G133" s="18" t="s">
        <v>54</v>
      </c>
      <c r="H133" s="99" t="s">
        <v>427</v>
      </c>
      <c r="I133" s="18" t="s">
        <v>56</v>
      </c>
      <c r="J133" s="18" t="s">
        <v>57</v>
      </c>
      <c r="K133" s="76">
        <v>801116</v>
      </c>
      <c r="L133" s="78" t="s">
        <v>428</v>
      </c>
      <c r="M133" s="114" t="s">
        <v>59</v>
      </c>
      <c r="N133" s="114" t="s">
        <v>60</v>
      </c>
      <c r="O133" s="77" t="s">
        <v>429</v>
      </c>
      <c r="P133" s="114" t="s">
        <v>441</v>
      </c>
      <c r="Q133" s="115">
        <v>3343930</v>
      </c>
      <c r="R133" s="118">
        <v>1</v>
      </c>
      <c r="S133" s="117">
        <f>+Q133*R133*W133-38455195</f>
        <v>0</v>
      </c>
      <c r="T133" s="255" t="s">
        <v>431</v>
      </c>
      <c r="U133" s="255" t="s">
        <v>432</v>
      </c>
      <c r="V133" s="119" t="s">
        <v>308</v>
      </c>
      <c r="W133" s="255">
        <v>11.5</v>
      </c>
      <c r="X133" s="255" t="s">
        <v>442</v>
      </c>
      <c r="Y133" s="130">
        <v>43104</v>
      </c>
      <c r="Z133" s="115">
        <f t="shared" si="20"/>
        <v>0</v>
      </c>
      <c r="AA133" s="126"/>
      <c r="AB133" s="255" t="s">
        <v>443</v>
      </c>
      <c r="AC133" s="130">
        <v>43105</v>
      </c>
      <c r="AD133" s="115">
        <v>38455195</v>
      </c>
      <c r="AE133" s="126"/>
      <c r="AF133" s="131"/>
      <c r="AG133" s="128"/>
      <c r="AH133" s="126"/>
      <c r="AI133" s="125"/>
      <c r="AJ133" s="128"/>
      <c r="AK133" s="128"/>
      <c r="AL133" s="126"/>
      <c r="AM133" s="126"/>
      <c r="AN133" s="126"/>
      <c r="AO133" s="125" t="s">
        <v>435</v>
      </c>
      <c r="AP133" s="128"/>
      <c r="AQ133" s="132" t="s">
        <v>444</v>
      </c>
      <c r="AR133" s="133">
        <v>43150</v>
      </c>
      <c r="AS133" s="125" t="s">
        <v>445</v>
      </c>
      <c r="AT133" s="128"/>
    </row>
    <row r="134" spans="1:46" ht="77.25" x14ac:dyDescent="0.25">
      <c r="A134" s="114">
        <v>4</v>
      </c>
      <c r="B134" s="114" t="s">
        <v>446</v>
      </c>
      <c r="C134" s="98" t="s">
        <v>424</v>
      </c>
      <c r="D134" s="18" t="s">
        <v>425</v>
      </c>
      <c r="E134" s="114" t="s">
        <v>426</v>
      </c>
      <c r="F134" s="18" t="s">
        <v>53</v>
      </c>
      <c r="G134" s="18" t="s">
        <v>54</v>
      </c>
      <c r="H134" s="99" t="s">
        <v>427</v>
      </c>
      <c r="I134" s="18" t="s">
        <v>56</v>
      </c>
      <c r="J134" s="18" t="s">
        <v>57</v>
      </c>
      <c r="K134" s="76">
        <v>801116</v>
      </c>
      <c r="L134" s="76" t="s">
        <v>428</v>
      </c>
      <c r="M134" s="114" t="s">
        <v>59</v>
      </c>
      <c r="N134" s="114" t="s">
        <v>60</v>
      </c>
      <c r="O134" s="77" t="s">
        <v>429</v>
      </c>
      <c r="P134" s="114" t="s">
        <v>359</v>
      </c>
      <c r="Q134" s="115">
        <v>2060000</v>
      </c>
      <c r="R134" s="116">
        <v>1</v>
      </c>
      <c r="S134" s="117">
        <f t="shared" si="19"/>
        <v>23690000</v>
      </c>
      <c r="T134" s="255" t="s">
        <v>431</v>
      </c>
      <c r="U134" s="255" t="s">
        <v>432</v>
      </c>
      <c r="V134" s="119" t="s">
        <v>308</v>
      </c>
      <c r="W134" s="255">
        <v>11.5</v>
      </c>
      <c r="X134" s="256" t="s">
        <v>447</v>
      </c>
      <c r="Y134" s="120">
        <v>43104</v>
      </c>
      <c r="Z134" s="121">
        <f t="shared" si="20"/>
        <v>23690000</v>
      </c>
      <c r="AA134" s="256"/>
      <c r="AB134" s="256">
        <v>219</v>
      </c>
      <c r="AC134" s="122">
        <v>43105</v>
      </c>
      <c r="AD134" s="115">
        <v>23690000</v>
      </c>
      <c r="AE134" s="129">
        <f t="shared" ref="AE134:AE150" si="21">AD134-AL134</f>
        <v>0</v>
      </c>
      <c r="AF134" s="124">
        <v>44</v>
      </c>
      <c r="AG134" s="122">
        <v>43116</v>
      </c>
      <c r="AH134" s="123">
        <f>AD134</f>
        <v>23690000</v>
      </c>
      <c r="AI134" s="125" t="s">
        <v>360</v>
      </c>
      <c r="AJ134" s="256">
        <v>36</v>
      </c>
      <c r="AK134" s="126"/>
      <c r="AL134" s="123">
        <f t="shared" ref="AL134:AL141" si="22">AH134</f>
        <v>23690000</v>
      </c>
      <c r="AM134" s="123">
        <v>4120000</v>
      </c>
      <c r="AN134" s="123">
        <f t="shared" ref="AN134:AN150" si="23">AL134-AM134</f>
        <v>19570000</v>
      </c>
      <c r="AO134" s="125" t="s">
        <v>435</v>
      </c>
      <c r="AP134" s="128"/>
      <c r="AQ134" s="128"/>
      <c r="AR134" s="128"/>
      <c r="AS134" s="128"/>
      <c r="AT134" s="128"/>
    </row>
    <row r="135" spans="1:46" ht="90" x14ac:dyDescent="0.25">
      <c r="A135" s="114">
        <v>5</v>
      </c>
      <c r="B135" s="114" t="s">
        <v>448</v>
      </c>
      <c r="C135" s="98" t="s">
        <v>424</v>
      </c>
      <c r="D135" s="18" t="s">
        <v>425</v>
      </c>
      <c r="E135" s="114" t="s">
        <v>426</v>
      </c>
      <c r="F135" s="18" t="s">
        <v>53</v>
      </c>
      <c r="G135" s="18" t="s">
        <v>54</v>
      </c>
      <c r="H135" s="99" t="s">
        <v>427</v>
      </c>
      <c r="I135" s="18" t="s">
        <v>56</v>
      </c>
      <c r="J135" s="18" t="s">
        <v>57</v>
      </c>
      <c r="K135" s="76">
        <v>801116</v>
      </c>
      <c r="L135" s="76" t="s">
        <v>428</v>
      </c>
      <c r="M135" s="114" t="s">
        <v>59</v>
      </c>
      <c r="N135" s="114" t="s">
        <v>60</v>
      </c>
      <c r="O135" s="77" t="s">
        <v>429</v>
      </c>
      <c r="P135" s="114" t="s">
        <v>449</v>
      </c>
      <c r="Q135" s="115">
        <v>3326900</v>
      </c>
      <c r="R135" s="116">
        <v>1</v>
      </c>
      <c r="S135" s="117">
        <f t="shared" si="19"/>
        <v>38259350</v>
      </c>
      <c r="T135" s="255" t="s">
        <v>431</v>
      </c>
      <c r="U135" s="255" t="s">
        <v>432</v>
      </c>
      <c r="V135" s="119" t="s">
        <v>308</v>
      </c>
      <c r="W135" s="255">
        <v>11.5</v>
      </c>
      <c r="X135" s="256" t="s">
        <v>450</v>
      </c>
      <c r="Y135" s="120">
        <v>43104</v>
      </c>
      <c r="Z135" s="121">
        <f t="shared" si="20"/>
        <v>38259350</v>
      </c>
      <c r="AA135" s="256"/>
      <c r="AB135" s="256">
        <v>221</v>
      </c>
      <c r="AC135" s="122">
        <v>43105</v>
      </c>
      <c r="AD135" s="115">
        <v>38259350</v>
      </c>
      <c r="AE135" s="129">
        <f t="shared" si="21"/>
        <v>0</v>
      </c>
      <c r="AF135" s="124">
        <v>86</v>
      </c>
      <c r="AG135" s="122">
        <v>43116</v>
      </c>
      <c r="AH135" s="123">
        <f>AD135</f>
        <v>38259350</v>
      </c>
      <c r="AI135" s="125" t="s">
        <v>451</v>
      </c>
      <c r="AJ135" s="256">
        <v>74</v>
      </c>
      <c r="AK135" s="126"/>
      <c r="AL135" s="123">
        <f t="shared" si="22"/>
        <v>38259350</v>
      </c>
      <c r="AM135" s="123">
        <v>8206353</v>
      </c>
      <c r="AN135" s="123">
        <f t="shared" si="23"/>
        <v>30052997</v>
      </c>
      <c r="AO135" s="125" t="s">
        <v>435</v>
      </c>
      <c r="AP135" s="128"/>
      <c r="AQ135" s="128"/>
      <c r="AR135" s="128"/>
      <c r="AS135" s="128"/>
      <c r="AT135" s="128"/>
    </row>
    <row r="136" spans="1:46" ht="77.25" x14ac:dyDescent="0.25">
      <c r="A136" s="114">
        <v>6</v>
      </c>
      <c r="B136" s="114" t="s">
        <v>452</v>
      </c>
      <c r="C136" s="98" t="s">
        <v>424</v>
      </c>
      <c r="D136" s="18" t="s">
        <v>425</v>
      </c>
      <c r="E136" s="114" t="s">
        <v>453</v>
      </c>
      <c r="F136" s="18" t="s">
        <v>53</v>
      </c>
      <c r="G136" s="18" t="s">
        <v>54</v>
      </c>
      <c r="H136" s="99" t="s">
        <v>427</v>
      </c>
      <c r="I136" s="18" t="s">
        <v>56</v>
      </c>
      <c r="J136" s="18" t="s">
        <v>57</v>
      </c>
      <c r="K136" s="76">
        <v>801116</v>
      </c>
      <c r="L136" s="76" t="s">
        <v>428</v>
      </c>
      <c r="M136" s="114" t="s">
        <v>59</v>
      </c>
      <c r="N136" s="114" t="s">
        <v>60</v>
      </c>
      <c r="O136" s="77" t="s">
        <v>429</v>
      </c>
      <c r="P136" s="114" t="s">
        <v>454</v>
      </c>
      <c r="Q136" s="115">
        <v>3399000</v>
      </c>
      <c r="R136" s="116">
        <v>1</v>
      </c>
      <c r="S136" s="115">
        <f t="shared" si="19"/>
        <v>39088500</v>
      </c>
      <c r="T136" s="255" t="s">
        <v>431</v>
      </c>
      <c r="U136" s="255" t="s">
        <v>432</v>
      </c>
      <c r="V136" s="119" t="s">
        <v>308</v>
      </c>
      <c r="W136" s="255">
        <v>11.5</v>
      </c>
      <c r="X136" s="256" t="s">
        <v>455</v>
      </c>
      <c r="Y136" s="120">
        <v>43104</v>
      </c>
      <c r="Z136" s="121">
        <f t="shared" si="20"/>
        <v>39088500</v>
      </c>
      <c r="AA136" s="256"/>
      <c r="AB136" s="256">
        <v>222</v>
      </c>
      <c r="AC136" s="122">
        <v>43105</v>
      </c>
      <c r="AD136" s="115">
        <v>39088500</v>
      </c>
      <c r="AE136" s="129">
        <f t="shared" si="21"/>
        <v>0</v>
      </c>
      <c r="AF136" s="124">
        <v>357</v>
      </c>
      <c r="AG136" s="122">
        <v>43123</v>
      </c>
      <c r="AH136" s="123">
        <f>AD136</f>
        <v>39088500</v>
      </c>
      <c r="AI136" s="125" t="s">
        <v>456</v>
      </c>
      <c r="AJ136" s="256">
        <v>355</v>
      </c>
      <c r="AK136" s="126"/>
      <c r="AL136" s="123">
        <f t="shared" si="22"/>
        <v>39088500</v>
      </c>
      <c r="AM136" s="123">
        <v>7477800</v>
      </c>
      <c r="AN136" s="123">
        <f t="shared" si="23"/>
        <v>31610700</v>
      </c>
      <c r="AO136" s="125" t="s">
        <v>435</v>
      </c>
      <c r="AP136" s="128"/>
      <c r="AQ136" s="128"/>
      <c r="AR136" s="128"/>
      <c r="AS136" s="128"/>
      <c r="AT136" s="128"/>
    </row>
    <row r="137" spans="1:46" ht="128.25" x14ac:dyDescent="0.25">
      <c r="A137" s="114">
        <v>7</v>
      </c>
      <c r="B137" s="114" t="s">
        <v>457</v>
      </c>
      <c r="C137" s="98" t="s">
        <v>424</v>
      </c>
      <c r="D137" s="18" t="s">
        <v>425</v>
      </c>
      <c r="E137" s="114" t="s">
        <v>426</v>
      </c>
      <c r="F137" s="18" t="s">
        <v>53</v>
      </c>
      <c r="G137" s="18" t="s">
        <v>54</v>
      </c>
      <c r="H137" s="99" t="s">
        <v>427</v>
      </c>
      <c r="I137" s="18" t="s">
        <v>56</v>
      </c>
      <c r="J137" s="18" t="s">
        <v>57</v>
      </c>
      <c r="K137" s="76">
        <v>801116</v>
      </c>
      <c r="L137" s="76" t="s">
        <v>428</v>
      </c>
      <c r="M137" s="114" t="s">
        <v>59</v>
      </c>
      <c r="N137" s="114" t="s">
        <v>60</v>
      </c>
      <c r="O137" s="77" t="s">
        <v>429</v>
      </c>
      <c r="P137" s="114" t="s">
        <v>458</v>
      </c>
      <c r="Q137" s="115">
        <v>7210000</v>
      </c>
      <c r="R137" s="116">
        <v>1</v>
      </c>
      <c r="S137" s="117">
        <f t="shared" si="19"/>
        <v>82915000</v>
      </c>
      <c r="T137" s="255" t="s">
        <v>431</v>
      </c>
      <c r="U137" s="255" t="s">
        <v>432</v>
      </c>
      <c r="V137" s="119" t="s">
        <v>308</v>
      </c>
      <c r="W137" s="255">
        <v>11.5</v>
      </c>
      <c r="X137" s="256" t="s">
        <v>459</v>
      </c>
      <c r="Y137" s="120">
        <v>43104</v>
      </c>
      <c r="Z137" s="121">
        <f t="shared" si="20"/>
        <v>82915000</v>
      </c>
      <c r="AA137" s="256"/>
      <c r="AB137" s="256">
        <v>225</v>
      </c>
      <c r="AC137" s="122">
        <v>43105</v>
      </c>
      <c r="AD137" s="115">
        <v>82915000</v>
      </c>
      <c r="AE137" s="129">
        <f t="shared" si="21"/>
        <v>0</v>
      </c>
      <c r="AF137" s="124">
        <v>387</v>
      </c>
      <c r="AG137" s="122">
        <v>43124</v>
      </c>
      <c r="AH137" s="123">
        <f>AD137</f>
        <v>82915000</v>
      </c>
      <c r="AI137" s="125" t="s">
        <v>460</v>
      </c>
      <c r="AJ137" s="256">
        <v>309</v>
      </c>
      <c r="AK137" s="126"/>
      <c r="AL137" s="123">
        <f t="shared" si="22"/>
        <v>82915000</v>
      </c>
      <c r="AM137" s="123">
        <v>15862000</v>
      </c>
      <c r="AN137" s="123">
        <f t="shared" si="23"/>
        <v>67053000</v>
      </c>
      <c r="AO137" s="125" t="s">
        <v>435</v>
      </c>
      <c r="AP137" s="128"/>
      <c r="AQ137" s="128"/>
      <c r="AR137" s="128"/>
      <c r="AS137" s="128"/>
      <c r="AT137" s="128"/>
    </row>
    <row r="138" spans="1:46" ht="90" x14ac:dyDescent="0.25">
      <c r="A138" s="114">
        <v>8</v>
      </c>
      <c r="B138" s="114" t="s">
        <v>461</v>
      </c>
      <c r="C138" s="98" t="s">
        <v>424</v>
      </c>
      <c r="D138" s="18" t="s">
        <v>425</v>
      </c>
      <c r="E138" s="114" t="s">
        <v>453</v>
      </c>
      <c r="F138" s="18" t="s">
        <v>53</v>
      </c>
      <c r="G138" s="18" t="s">
        <v>54</v>
      </c>
      <c r="H138" s="99" t="s">
        <v>427</v>
      </c>
      <c r="I138" s="18" t="s">
        <v>56</v>
      </c>
      <c r="J138" s="18" t="s">
        <v>57</v>
      </c>
      <c r="K138" s="76">
        <v>801116</v>
      </c>
      <c r="L138" s="76" t="s">
        <v>428</v>
      </c>
      <c r="M138" s="114" t="s">
        <v>59</v>
      </c>
      <c r="N138" s="114" t="s">
        <v>60</v>
      </c>
      <c r="O138" s="77" t="s">
        <v>429</v>
      </c>
      <c r="P138" s="114" t="s">
        <v>462</v>
      </c>
      <c r="Q138" s="115">
        <v>3326900</v>
      </c>
      <c r="R138" s="116">
        <v>1</v>
      </c>
      <c r="S138" s="115">
        <f t="shared" si="19"/>
        <v>38259350</v>
      </c>
      <c r="T138" s="255" t="s">
        <v>431</v>
      </c>
      <c r="U138" s="255" t="s">
        <v>432</v>
      </c>
      <c r="V138" s="119" t="s">
        <v>308</v>
      </c>
      <c r="W138" s="255">
        <v>11.5</v>
      </c>
      <c r="X138" s="256" t="s">
        <v>463</v>
      </c>
      <c r="Y138" s="120">
        <v>43104</v>
      </c>
      <c r="Z138" s="121">
        <f t="shared" si="20"/>
        <v>38259350</v>
      </c>
      <c r="AA138" s="256"/>
      <c r="AB138" s="256">
        <v>226</v>
      </c>
      <c r="AC138" s="122">
        <v>43105</v>
      </c>
      <c r="AD138" s="115">
        <v>38259350</v>
      </c>
      <c r="AE138" s="129">
        <f t="shared" si="21"/>
        <v>0</v>
      </c>
      <c r="AF138" s="124">
        <v>280</v>
      </c>
      <c r="AG138" s="122">
        <v>43122</v>
      </c>
      <c r="AH138" s="123">
        <f>AD138</f>
        <v>38259350</v>
      </c>
      <c r="AI138" s="125" t="s">
        <v>464</v>
      </c>
      <c r="AJ138" s="256">
        <v>250</v>
      </c>
      <c r="AK138" s="126"/>
      <c r="AL138" s="123">
        <f t="shared" si="22"/>
        <v>38259350</v>
      </c>
      <c r="AM138" s="123">
        <v>7651870</v>
      </c>
      <c r="AN138" s="123">
        <f t="shared" si="23"/>
        <v>30607480</v>
      </c>
      <c r="AO138" s="125" t="s">
        <v>435</v>
      </c>
      <c r="AP138" s="128"/>
      <c r="AQ138" s="128"/>
      <c r="AR138" s="128"/>
      <c r="AS138" s="128"/>
      <c r="AT138" s="128"/>
    </row>
    <row r="139" spans="1:46" ht="77.25" x14ac:dyDescent="0.25">
      <c r="A139" s="114">
        <v>9</v>
      </c>
      <c r="B139" s="114" t="s">
        <v>465</v>
      </c>
      <c r="C139" s="98" t="s">
        <v>424</v>
      </c>
      <c r="D139" s="18" t="s">
        <v>425</v>
      </c>
      <c r="E139" s="114" t="s">
        <v>426</v>
      </c>
      <c r="F139" s="18" t="s">
        <v>53</v>
      </c>
      <c r="G139" s="18" t="s">
        <v>54</v>
      </c>
      <c r="H139" s="99" t="s">
        <v>427</v>
      </c>
      <c r="I139" s="18" t="s">
        <v>56</v>
      </c>
      <c r="J139" s="18" t="s">
        <v>57</v>
      </c>
      <c r="K139" s="76">
        <v>801116</v>
      </c>
      <c r="L139" s="76" t="s">
        <v>428</v>
      </c>
      <c r="M139" s="114" t="s">
        <v>59</v>
      </c>
      <c r="N139" s="114" t="s">
        <v>60</v>
      </c>
      <c r="O139" s="77" t="s">
        <v>429</v>
      </c>
      <c r="P139" s="114" t="s">
        <v>466</v>
      </c>
      <c r="Q139" s="115">
        <v>4532000</v>
      </c>
      <c r="R139" s="116">
        <v>1</v>
      </c>
      <c r="S139" s="117">
        <f t="shared" si="19"/>
        <v>13596000</v>
      </c>
      <c r="T139" s="255" t="s">
        <v>431</v>
      </c>
      <c r="U139" s="255" t="s">
        <v>432</v>
      </c>
      <c r="V139" s="119" t="s">
        <v>308</v>
      </c>
      <c r="W139" s="255">
        <v>3</v>
      </c>
      <c r="X139" s="256" t="s">
        <v>467</v>
      </c>
      <c r="Y139" s="120">
        <v>43104</v>
      </c>
      <c r="Z139" s="121">
        <f t="shared" si="20"/>
        <v>13596000</v>
      </c>
      <c r="AA139" s="256"/>
      <c r="AB139" s="256">
        <v>228</v>
      </c>
      <c r="AC139" s="122">
        <v>43105</v>
      </c>
      <c r="AD139" s="115">
        <v>13596000</v>
      </c>
      <c r="AE139" s="129">
        <f t="shared" si="21"/>
        <v>0</v>
      </c>
      <c r="AF139" s="124">
        <v>343</v>
      </c>
      <c r="AG139" s="122">
        <v>43123</v>
      </c>
      <c r="AH139" s="123">
        <v>13596000</v>
      </c>
      <c r="AI139" s="125" t="s">
        <v>468</v>
      </c>
      <c r="AJ139" s="256">
        <v>347</v>
      </c>
      <c r="AK139" s="126"/>
      <c r="AL139" s="123">
        <f t="shared" si="22"/>
        <v>13596000</v>
      </c>
      <c r="AM139" s="123">
        <v>9970400</v>
      </c>
      <c r="AN139" s="123">
        <f t="shared" si="23"/>
        <v>3625600</v>
      </c>
      <c r="AO139" s="125" t="s">
        <v>435</v>
      </c>
      <c r="AP139" s="128"/>
      <c r="AQ139" s="128"/>
      <c r="AR139" s="128"/>
      <c r="AS139" s="128"/>
      <c r="AT139" s="128"/>
    </row>
    <row r="140" spans="1:46" ht="90" x14ac:dyDescent="0.25">
      <c r="A140" s="114">
        <v>10</v>
      </c>
      <c r="B140" s="114" t="s">
        <v>469</v>
      </c>
      <c r="C140" s="98" t="s">
        <v>424</v>
      </c>
      <c r="D140" s="18" t="s">
        <v>425</v>
      </c>
      <c r="E140" s="114" t="s">
        <v>453</v>
      </c>
      <c r="F140" s="18" t="s">
        <v>53</v>
      </c>
      <c r="G140" s="18" t="s">
        <v>54</v>
      </c>
      <c r="H140" s="99" t="s">
        <v>427</v>
      </c>
      <c r="I140" s="18" t="s">
        <v>56</v>
      </c>
      <c r="J140" s="18" t="s">
        <v>57</v>
      </c>
      <c r="K140" s="76">
        <v>801116</v>
      </c>
      <c r="L140" s="76" t="s">
        <v>428</v>
      </c>
      <c r="M140" s="114" t="s">
        <v>59</v>
      </c>
      <c r="N140" s="114" t="s">
        <v>60</v>
      </c>
      <c r="O140" s="77" t="s">
        <v>429</v>
      </c>
      <c r="P140" s="114" t="s">
        <v>470</v>
      </c>
      <c r="Q140" s="115">
        <v>1545000</v>
      </c>
      <c r="R140" s="116">
        <v>1</v>
      </c>
      <c r="S140" s="115">
        <f t="shared" si="19"/>
        <v>17767500</v>
      </c>
      <c r="T140" s="255" t="s">
        <v>431</v>
      </c>
      <c r="U140" s="255" t="s">
        <v>432</v>
      </c>
      <c r="V140" s="119" t="s">
        <v>308</v>
      </c>
      <c r="W140" s="255">
        <v>11.5</v>
      </c>
      <c r="X140" s="256" t="s">
        <v>471</v>
      </c>
      <c r="Y140" s="120">
        <v>43104</v>
      </c>
      <c r="Z140" s="121">
        <f t="shared" si="20"/>
        <v>17767500</v>
      </c>
      <c r="AA140" s="256"/>
      <c r="AB140" s="256">
        <v>177</v>
      </c>
      <c r="AC140" s="122">
        <v>43105</v>
      </c>
      <c r="AD140" s="115">
        <v>17767500</v>
      </c>
      <c r="AE140" s="129">
        <f t="shared" si="21"/>
        <v>0</v>
      </c>
      <c r="AF140" s="124">
        <v>218</v>
      </c>
      <c r="AG140" s="122">
        <v>43118</v>
      </c>
      <c r="AH140" s="123">
        <f t="shared" ref="AH140:AH149" si="24">AD140</f>
        <v>17767500</v>
      </c>
      <c r="AI140" s="125" t="s">
        <v>472</v>
      </c>
      <c r="AJ140" s="256">
        <v>186</v>
      </c>
      <c r="AK140" s="126"/>
      <c r="AL140" s="123">
        <f t="shared" si="22"/>
        <v>17767500</v>
      </c>
      <c r="AM140" s="123">
        <v>3708000</v>
      </c>
      <c r="AN140" s="123">
        <f t="shared" si="23"/>
        <v>14059500</v>
      </c>
      <c r="AO140" s="125" t="s">
        <v>435</v>
      </c>
      <c r="AP140" s="128"/>
      <c r="AQ140" s="128"/>
      <c r="AR140" s="128"/>
      <c r="AS140" s="128"/>
      <c r="AT140" s="128"/>
    </row>
    <row r="141" spans="1:46" ht="77.25" x14ac:dyDescent="0.25">
      <c r="A141" s="114">
        <v>11</v>
      </c>
      <c r="B141" s="114" t="s">
        <v>473</v>
      </c>
      <c r="C141" s="98" t="s">
        <v>424</v>
      </c>
      <c r="D141" s="18" t="s">
        <v>425</v>
      </c>
      <c r="E141" s="114" t="s">
        <v>453</v>
      </c>
      <c r="F141" s="18" t="s">
        <v>53</v>
      </c>
      <c r="G141" s="18" t="s">
        <v>54</v>
      </c>
      <c r="H141" s="99" t="s">
        <v>427</v>
      </c>
      <c r="I141" s="18" t="s">
        <v>56</v>
      </c>
      <c r="J141" s="18" t="s">
        <v>57</v>
      </c>
      <c r="K141" s="76">
        <v>801116</v>
      </c>
      <c r="L141" s="76" t="s">
        <v>428</v>
      </c>
      <c r="M141" s="114" t="s">
        <v>59</v>
      </c>
      <c r="N141" s="114" t="s">
        <v>60</v>
      </c>
      <c r="O141" s="77" t="s">
        <v>429</v>
      </c>
      <c r="P141" s="114" t="s">
        <v>474</v>
      </c>
      <c r="Q141" s="115">
        <v>3553500</v>
      </c>
      <c r="R141" s="116">
        <v>1</v>
      </c>
      <c r="S141" s="115">
        <f t="shared" si="19"/>
        <v>40865250</v>
      </c>
      <c r="T141" s="255" t="s">
        <v>431</v>
      </c>
      <c r="U141" s="255" t="s">
        <v>432</v>
      </c>
      <c r="V141" s="119" t="s">
        <v>308</v>
      </c>
      <c r="W141" s="255">
        <v>11.5</v>
      </c>
      <c r="X141" s="256" t="s">
        <v>475</v>
      </c>
      <c r="Y141" s="120">
        <v>43104</v>
      </c>
      <c r="Z141" s="121">
        <f t="shared" si="20"/>
        <v>40865250</v>
      </c>
      <c r="AA141" s="256"/>
      <c r="AB141" s="256">
        <v>180</v>
      </c>
      <c r="AC141" s="122">
        <v>43105</v>
      </c>
      <c r="AD141" s="115">
        <v>40865250</v>
      </c>
      <c r="AE141" s="129">
        <f t="shared" si="21"/>
        <v>0</v>
      </c>
      <c r="AF141" s="124">
        <v>372</v>
      </c>
      <c r="AG141" s="122">
        <v>43124</v>
      </c>
      <c r="AH141" s="123">
        <f t="shared" si="24"/>
        <v>40865250</v>
      </c>
      <c r="AI141" s="125" t="s">
        <v>476</v>
      </c>
      <c r="AJ141" s="256">
        <v>326</v>
      </c>
      <c r="AK141" s="126"/>
      <c r="AL141" s="123">
        <f t="shared" si="22"/>
        <v>40865250</v>
      </c>
      <c r="AM141" s="123">
        <v>7817700</v>
      </c>
      <c r="AN141" s="123">
        <f t="shared" si="23"/>
        <v>33047550</v>
      </c>
      <c r="AO141" s="125" t="s">
        <v>435</v>
      </c>
      <c r="AP141" s="128"/>
      <c r="AQ141" s="128"/>
      <c r="AR141" s="128"/>
      <c r="AS141" s="128"/>
      <c r="AT141" s="128"/>
    </row>
    <row r="142" spans="1:46" ht="153.75" x14ac:dyDescent="0.25">
      <c r="A142" s="114">
        <v>12</v>
      </c>
      <c r="B142" s="114" t="s">
        <v>477</v>
      </c>
      <c r="C142" s="98" t="s">
        <v>424</v>
      </c>
      <c r="D142" s="18" t="s">
        <v>425</v>
      </c>
      <c r="E142" s="114" t="s">
        <v>453</v>
      </c>
      <c r="F142" s="18" t="s">
        <v>53</v>
      </c>
      <c r="G142" s="18" t="s">
        <v>54</v>
      </c>
      <c r="H142" s="99" t="s">
        <v>427</v>
      </c>
      <c r="I142" s="18" t="s">
        <v>56</v>
      </c>
      <c r="J142" s="18" t="s">
        <v>57</v>
      </c>
      <c r="K142" s="76">
        <v>801116</v>
      </c>
      <c r="L142" s="76" t="s">
        <v>428</v>
      </c>
      <c r="M142" s="114" t="s">
        <v>59</v>
      </c>
      <c r="N142" s="114" t="s">
        <v>60</v>
      </c>
      <c r="O142" s="77" t="s">
        <v>429</v>
      </c>
      <c r="P142" s="114" t="s">
        <v>478</v>
      </c>
      <c r="Q142" s="115">
        <v>6180000</v>
      </c>
      <c r="R142" s="116">
        <v>1</v>
      </c>
      <c r="S142" s="115">
        <f t="shared" si="19"/>
        <v>71070000</v>
      </c>
      <c r="T142" s="255" t="s">
        <v>431</v>
      </c>
      <c r="U142" s="255" t="s">
        <v>432</v>
      </c>
      <c r="V142" s="119" t="s">
        <v>308</v>
      </c>
      <c r="W142" s="255">
        <v>11.5</v>
      </c>
      <c r="X142" s="256" t="s">
        <v>479</v>
      </c>
      <c r="Y142" s="120">
        <v>43104</v>
      </c>
      <c r="Z142" s="121">
        <f t="shared" si="20"/>
        <v>71070000</v>
      </c>
      <c r="AA142" s="256"/>
      <c r="AB142" s="256">
        <v>184</v>
      </c>
      <c r="AC142" s="122">
        <v>43105</v>
      </c>
      <c r="AD142" s="115">
        <v>71070000</v>
      </c>
      <c r="AE142" s="129">
        <f t="shared" si="21"/>
        <v>0</v>
      </c>
      <c r="AF142" s="124">
        <v>469</v>
      </c>
      <c r="AG142" s="122">
        <v>43126</v>
      </c>
      <c r="AH142" s="123">
        <f t="shared" si="24"/>
        <v>71070000</v>
      </c>
      <c r="AI142" s="125" t="s">
        <v>480</v>
      </c>
      <c r="AJ142" s="256">
        <v>396</v>
      </c>
      <c r="AK142" s="126"/>
      <c r="AL142" s="123">
        <f>AD142</f>
        <v>71070000</v>
      </c>
      <c r="AM142" s="123">
        <v>12772000</v>
      </c>
      <c r="AN142" s="123">
        <f t="shared" si="23"/>
        <v>58298000</v>
      </c>
      <c r="AO142" s="125" t="s">
        <v>435</v>
      </c>
      <c r="AP142" s="128"/>
      <c r="AQ142" s="128"/>
      <c r="AR142" s="128"/>
      <c r="AS142" s="128"/>
      <c r="AT142" s="128"/>
    </row>
    <row r="143" spans="1:46" ht="204.75" x14ac:dyDescent="0.25">
      <c r="A143" s="114">
        <v>13</v>
      </c>
      <c r="B143" s="114" t="s">
        <v>481</v>
      </c>
      <c r="C143" s="98" t="s">
        <v>424</v>
      </c>
      <c r="D143" s="18" t="s">
        <v>425</v>
      </c>
      <c r="E143" s="114" t="s">
        <v>426</v>
      </c>
      <c r="F143" s="18" t="s">
        <v>53</v>
      </c>
      <c r="G143" s="18" t="s">
        <v>54</v>
      </c>
      <c r="H143" s="99" t="s">
        <v>427</v>
      </c>
      <c r="I143" s="18" t="s">
        <v>56</v>
      </c>
      <c r="J143" s="18" t="s">
        <v>57</v>
      </c>
      <c r="K143" s="76">
        <v>801116</v>
      </c>
      <c r="L143" s="76" t="s">
        <v>428</v>
      </c>
      <c r="M143" s="114" t="s">
        <v>59</v>
      </c>
      <c r="N143" s="114" t="s">
        <v>60</v>
      </c>
      <c r="O143" s="77" t="s">
        <v>429</v>
      </c>
      <c r="P143" s="114" t="s">
        <v>482</v>
      </c>
      <c r="Q143" s="115">
        <v>11900000</v>
      </c>
      <c r="R143" s="116">
        <v>1</v>
      </c>
      <c r="S143" s="117">
        <f t="shared" si="19"/>
        <v>136850000</v>
      </c>
      <c r="T143" s="255" t="s">
        <v>431</v>
      </c>
      <c r="U143" s="255" t="s">
        <v>432</v>
      </c>
      <c r="V143" s="119" t="s">
        <v>308</v>
      </c>
      <c r="W143" s="255">
        <v>11.5</v>
      </c>
      <c r="X143" s="256" t="s">
        <v>483</v>
      </c>
      <c r="Y143" s="120">
        <v>43104</v>
      </c>
      <c r="Z143" s="121">
        <f t="shared" si="20"/>
        <v>136850000</v>
      </c>
      <c r="AA143" s="256"/>
      <c r="AB143" s="256">
        <v>187</v>
      </c>
      <c r="AC143" s="122">
        <v>43105</v>
      </c>
      <c r="AD143" s="115">
        <v>136850000</v>
      </c>
      <c r="AE143" s="129">
        <f t="shared" si="21"/>
        <v>0</v>
      </c>
      <c r="AF143" s="124">
        <v>117</v>
      </c>
      <c r="AG143" s="122">
        <v>43117</v>
      </c>
      <c r="AH143" s="123">
        <f t="shared" si="24"/>
        <v>136850000</v>
      </c>
      <c r="AI143" s="125" t="s">
        <v>484</v>
      </c>
      <c r="AJ143" s="256">
        <v>96</v>
      </c>
      <c r="AK143" s="126"/>
      <c r="AL143" s="123">
        <f t="shared" ref="AL143:AL149" si="25">AH143</f>
        <v>136850000</v>
      </c>
      <c r="AM143" s="123">
        <v>29353333</v>
      </c>
      <c r="AN143" s="123">
        <f t="shared" si="23"/>
        <v>107496667</v>
      </c>
      <c r="AO143" s="125" t="s">
        <v>435</v>
      </c>
      <c r="AP143" s="128"/>
      <c r="AQ143" s="128"/>
      <c r="AR143" s="128"/>
      <c r="AS143" s="128"/>
      <c r="AT143" s="128"/>
    </row>
    <row r="144" spans="1:46" ht="128.25" x14ac:dyDescent="0.25">
      <c r="A144" s="114">
        <v>14</v>
      </c>
      <c r="B144" s="114" t="s">
        <v>485</v>
      </c>
      <c r="C144" s="98" t="s">
        <v>424</v>
      </c>
      <c r="D144" s="18" t="s">
        <v>425</v>
      </c>
      <c r="E144" s="114" t="s">
        <v>453</v>
      </c>
      <c r="F144" s="18" t="s">
        <v>53</v>
      </c>
      <c r="G144" s="18" t="s">
        <v>54</v>
      </c>
      <c r="H144" s="99" t="s">
        <v>427</v>
      </c>
      <c r="I144" s="18" t="s">
        <v>56</v>
      </c>
      <c r="J144" s="18" t="s">
        <v>57</v>
      </c>
      <c r="K144" s="76">
        <v>801116</v>
      </c>
      <c r="L144" s="76" t="s">
        <v>428</v>
      </c>
      <c r="M144" s="114" t="s">
        <v>59</v>
      </c>
      <c r="N144" s="114" t="s">
        <v>60</v>
      </c>
      <c r="O144" s="77" t="s">
        <v>429</v>
      </c>
      <c r="P144" s="114" t="s">
        <v>486</v>
      </c>
      <c r="Q144" s="115">
        <v>5253000</v>
      </c>
      <c r="R144" s="116">
        <v>1</v>
      </c>
      <c r="S144" s="115">
        <f t="shared" si="19"/>
        <v>60409500</v>
      </c>
      <c r="T144" s="255" t="s">
        <v>431</v>
      </c>
      <c r="U144" s="255" t="s">
        <v>432</v>
      </c>
      <c r="V144" s="119" t="s">
        <v>308</v>
      </c>
      <c r="W144" s="255">
        <v>11.5</v>
      </c>
      <c r="X144" s="256" t="s">
        <v>487</v>
      </c>
      <c r="Y144" s="120">
        <v>43104</v>
      </c>
      <c r="Z144" s="121">
        <f t="shared" si="20"/>
        <v>60409500</v>
      </c>
      <c r="AA144" s="256"/>
      <c r="AB144" s="256">
        <v>218</v>
      </c>
      <c r="AC144" s="122">
        <v>43105</v>
      </c>
      <c r="AD144" s="115">
        <v>60409500</v>
      </c>
      <c r="AE144" s="129">
        <f t="shared" si="21"/>
        <v>0</v>
      </c>
      <c r="AF144" s="124">
        <v>229</v>
      </c>
      <c r="AG144" s="122">
        <v>43118</v>
      </c>
      <c r="AH144" s="123">
        <f t="shared" si="24"/>
        <v>60409500</v>
      </c>
      <c r="AI144" s="125" t="s">
        <v>488</v>
      </c>
      <c r="AJ144" s="256">
        <v>201</v>
      </c>
      <c r="AK144" s="126"/>
      <c r="AL144" s="123">
        <f t="shared" si="25"/>
        <v>60409500</v>
      </c>
      <c r="AM144" s="123">
        <v>12607200</v>
      </c>
      <c r="AN144" s="123">
        <f t="shared" si="23"/>
        <v>47802300</v>
      </c>
      <c r="AO144" s="125" t="s">
        <v>435</v>
      </c>
      <c r="AP144" s="128"/>
      <c r="AQ144" s="128"/>
      <c r="AR144" s="128"/>
      <c r="AS144" s="128"/>
      <c r="AT144" s="128"/>
    </row>
    <row r="145" spans="1:46" ht="115.5" x14ac:dyDescent="0.25">
      <c r="A145" s="114">
        <v>15</v>
      </c>
      <c r="B145" s="114" t="s">
        <v>489</v>
      </c>
      <c r="C145" s="98" t="s">
        <v>424</v>
      </c>
      <c r="D145" s="18" t="s">
        <v>425</v>
      </c>
      <c r="E145" s="114" t="s">
        <v>453</v>
      </c>
      <c r="F145" s="18" t="s">
        <v>53</v>
      </c>
      <c r="G145" s="18" t="s">
        <v>54</v>
      </c>
      <c r="H145" s="99" t="s">
        <v>427</v>
      </c>
      <c r="I145" s="18" t="s">
        <v>56</v>
      </c>
      <c r="J145" s="18" t="s">
        <v>57</v>
      </c>
      <c r="K145" s="76">
        <v>801116</v>
      </c>
      <c r="L145" s="76" t="s">
        <v>428</v>
      </c>
      <c r="M145" s="114" t="s">
        <v>59</v>
      </c>
      <c r="N145" s="114" t="s">
        <v>60</v>
      </c>
      <c r="O145" s="77" t="s">
        <v>429</v>
      </c>
      <c r="P145" s="114" t="s">
        <v>490</v>
      </c>
      <c r="Q145" s="115">
        <v>4532000</v>
      </c>
      <c r="R145" s="116">
        <v>1</v>
      </c>
      <c r="S145" s="115">
        <f t="shared" si="19"/>
        <v>52118000</v>
      </c>
      <c r="T145" s="255" t="s">
        <v>431</v>
      </c>
      <c r="U145" s="255" t="s">
        <v>432</v>
      </c>
      <c r="V145" s="119" t="s">
        <v>308</v>
      </c>
      <c r="W145" s="255">
        <v>11.5</v>
      </c>
      <c r="X145" s="256" t="s">
        <v>491</v>
      </c>
      <c r="Y145" s="120">
        <v>43104</v>
      </c>
      <c r="Z145" s="121">
        <f t="shared" si="20"/>
        <v>52118000</v>
      </c>
      <c r="AA145" s="256"/>
      <c r="AB145" s="256">
        <v>224</v>
      </c>
      <c r="AC145" s="122">
        <v>43105</v>
      </c>
      <c r="AD145" s="115">
        <v>52118000</v>
      </c>
      <c r="AE145" s="129">
        <f t="shared" si="21"/>
        <v>0</v>
      </c>
      <c r="AF145" s="124">
        <v>133</v>
      </c>
      <c r="AG145" s="122">
        <v>43117</v>
      </c>
      <c r="AH145" s="123">
        <f t="shared" si="24"/>
        <v>52118000</v>
      </c>
      <c r="AI145" s="125" t="s">
        <v>492</v>
      </c>
      <c r="AJ145" s="256">
        <v>142</v>
      </c>
      <c r="AK145" s="126"/>
      <c r="AL145" s="123">
        <f t="shared" si="25"/>
        <v>52118000</v>
      </c>
      <c r="AM145" s="123">
        <v>11027867</v>
      </c>
      <c r="AN145" s="123">
        <f t="shared" si="23"/>
        <v>41090133</v>
      </c>
      <c r="AO145" s="125" t="s">
        <v>435</v>
      </c>
      <c r="AP145" s="128"/>
      <c r="AQ145" s="128"/>
      <c r="AR145" s="128"/>
      <c r="AS145" s="128"/>
      <c r="AT145" s="128"/>
    </row>
    <row r="146" spans="1:46" ht="268.5" x14ac:dyDescent="0.25">
      <c r="A146" s="114">
        <v>16</v>
      </c>
      <c r="B146" s="114" t="s">
        <v>493</v>
      </c>
      <c r="C146" s="98" t="s">
        <v>424</v>
      </c>
      <c r="D146" s="18" t="s">
        <v>425</v>
      </c>
      <c r="E146" s="114" t="s">
        <v>426</v>
      </c>
      <c r="F146" s="18" t="s">
        <v>53</v>
      </c>
      <c r="G146" s="18" t="s">
        <v>54</v>
      </c>
      <c r="H146" s="99" t="s">
        <v>427</v>
      </c>
      <c r="I146" s="18" t="s">
        <v>56</v>
      </c>
      <c r="J146" s="18" t="s">
        <v>57</v>
      </c>
      <c r="K146" s="76">
        <v>801116</v>
      </c>
      <c r="L146" s="76" t="s">
        <v>428</v>
      </c>
      <c r="M146" s="114" t="s">
        <v>59</v>
      </c>
      <c r="N146" s="114" t="s">
        <v>60</v>
      </c>
      <c r="O146" s="77" t="s">
        <v>429</v>
      </c>
      <c r="P146" s="114" t="s">
        <v>494</v>
      </c>
      <c r="Q146" s="115">
        <v>12900000</v>
      </c>
      <c r="R146" s="116">
        <v>1</v>
      </c>
      <c r="S146" s="117">
        <f t="shared" si="19"/>
        <v>148350000</v>
      </c>
      <c r="T146" s="255" t="s">
        <v>431</v>
      </c>
      <c r="U146" s="255" t="s">
        <v>432</v>
      </c>
      <c r="V146" s="119" t="s">
        <v>308</v>
      </c>
      <c r="W146" s="255">
        <v>11.5</v>
      </c>
      <c r="X146" s="256" t="s">
        <v>495</v>
      </c>
      <c r="Y146" s="120">
        <v>43104</v>
      </c>
      <c r="Z146" s="121">
        <f t="shared" si="20"/>
        <v>148350000</v>
      </c>
      <c r="AA146" s="256"/>
      <c r="AB146" s="256">
        <v>227</v>
      </c>
      <c r="AC146" s="122">
        <v>43105</v>
      </c>
      <c r="AD146" s="115">
        <v>148350000</v>
      </c>
      <c r="AE146" s="129">
        <f t="shared" si="21"/>
        <v>0</v>
      </c>
      <c r="AF146" s="124">
        <v>38</v>
      </c>
      <c r="AG146" s="122">
        <v>43116</v>
      </c>
      <c r="AH146" s="123">
        <f t="shared" si="24"/>
        <v>148350000</v>
      </c>
      <c r="AI146" s="125" t="s">
        <v>496</v>
      </c>
      <c r="AJ146" s="256">
        <v>35</v>
      </c>
      <c r="AK146" s="126"/>
      <c r="AL146" s="123">
        <f t="shared" si="25"/>
        <v>148350000</v>
      </c>
      <c r="AM146" s="123">
        <v>31820000</v>
      </c>
      <c r="AN146" s="123">
        <f t="shared" si="23"/>
        <v>116530000</v>
      </c>
      <c r="AO146" s="125" t="s">
        <v>435</v>
      </c>
      <c r="AP146" s="128"/>
      <c r="AQ146" s="128"/>
      <c r="AR146" s="128"/>
      <c r="AS146" s="128"/>
      <c r="AT146" s="128"/>
    </row>
    <row r="147" spans="1:46" ht="90" x14ac:dyDescent="0.25">
      <c r="A147" s="114">
        <v>17</v>
      </c>
      <c r="B147" s="114" t="s">
        <v>497</v>
      </c>
      <c r="C147" s="98" t="s">
        <v>424</v>
      </c>
      <c r="D147" s="18" t="s">
        <v>425</v>
      </c>
      <c r="E147" s="114" t="s">
        <v>453</v>
      </c>
      <c r="F147" s="18" t="s">
        <v>53</v>
      </c>
      <c r="G147" s="18" t="s">
        <v>54</v>
      </c>
      <c r="H147" s="99" t="s">
        <v>427</v>
      </c>
      <c r="I147" s="18" t="s">
        <v>56</v>
      </c>
      <c r="J147" s="18" t="s">
        <v>57</v>
      </c>
      <c r="K147" s="76">
        <v>801116</v>
      </c>
      <c r="L147" s="76" t="s">
        <v>428</v>
      </c>
      <c r="M147" s="114" t="s">
        <v>59</v>
      </c>
      <c r="N147" s="114" t="s">
        <v>60</v>
      </c>
      <c r="O147" s="77" t="s">
        <v>429</v>
      </c>
      <c r="P147" s="114" t="s">
        <v>498</v>
      </c>
      <c r="Q147" s="115">
        <v>4120000</v>
      </c>
      <c r="R147" s="116">
        <v>1</v>
      </c>
      <c r="S147" s="115">
        <f t="shared" si="19"/>
        <v>47380000</v>
      </c>
      <c r="T147" s="255" t="s">
        <v>431</v>
      </c>
      <c r="U147" s="255" t="s">
        <v>432</v>
      </c>
      <c r="V147" s="119" t="s">
        <v>308</v>
      </c>
      <c r="W147" s="255">
        <v>11.5</v>
      </c>
      <c r="X147" s="256" t="s">
        <v>499</v>
      </c>
      <c r="Y147" s="120">
        <v>43104</v>
      </c>
      <c r="Z147" s="121">
        <f t="shared" si="20"/>
        <v>47380000</v>
      </c>
      <c r="AA147" s="256"/>
      <c r="AB147" s="256">
        <v>229</v>
      </c>
      <c r="AC147" s="122">
        <v>43105</v>
      </c>
      <c r="AD147" s="115">
        <v>47380000</v>
      </c>
      <c r="AE147" s="129">
        <f t="shared" si="21"/>
        <v>0</v>
      </c>
      <c r="AF147" s="124">
        <v>216</v>
      </c>
      <c r="AG147" s="122">
        <v>43118</v>
      </c>
      <c r="AH147" s="123">
        <f t="shared" si="24"/>
        <v>47380000</v>
      </c>
      <c r="AI147" s="125" t="s">
        <v>500</v>
      </c>
      <c r="AJ147" s="256"/>
      <c r="AK147" s="126">
        <v>175</v>
      </c>
      <c r="AL147" s="123">
        <f t="shared" si="25"/>
        <v>47380000</v>
      </c>
      <c r="AM147" s="123">
        <v>9888000</v>
      </c>
      <c r="AN147" s="123">
        <f t="shared" si="23"/>
        <v>37492000</v>
      </c>
      <c r="AO147" s="125" t="s">
        <v>435</v>
      </c>
      <c r="AP147" s="128"/>
      <c r="AQ147" s="128"/>
      <c r="AR147" s="128"/>
      <c r="AS147" s="128"/>
      <c r="AT147" s="128"/>
    </row>
    <row r="148" spans="1:46" ht="141" x14ac:dyDescent="0.25">
      <c r="A148" s="114">
        <v>18</v>
      </c>
      <c r="B148" s="114" t="s">
        <v>501</v>
      </c>
      <c r="C148" s="98" t="s">
        <v>424</v>
      </c>
      <c r="D148" s="18" t="s">
        <v>425</v>
      </c>
      <c r="E148" s="114" t="s">
        <v>453</v>
      </c>
      <c r="F148" s="18" t="s">
        <v>53</v>
      </c>
      <c r="G148" s="18" t="s">
        <v>54</v>
      </c>
      <c r="H148" s="99" t="s">
        <v>427</v>
      </c>
      <c r="I148" s="18" t="s">
        <v>56</v>
      </c>
      <c r="J148" s="18" t="s">
        <v>57</v>
      </c>
      <c r="K148" s="76">
        <v>801116</v>
      </c>
      <c r="L148" s="76" t="s">
        <v>428</v>
      </c>
      <c r="M148" s="114" t="s">
        <v>59</v>
      </c>
      <c r="N148" s="114" t="s">
        <v>60</v>
      </c>
      <c r="O148" s="77" t="s">
        <v>429</v>
      </c>
      <c r="P148" s="114" t="s">
        <v>502</v>
      </c>
      <c r="Q148" s="115">
        <v>5665000</v>
      </c>
      <c r="R148" s="116">
        <v>1</v>
      </c>
      <c r="S148" s="115">
        <f t="shared" si="19"/>
        <v>65147500</v>
      </c>
      <c r="T148" s="255" t="s">
        <v>431</v>
      </c>
      <c r="U148" s="255" t="s">
        <v>432</v>
      </c>
      <c r="V148" s="119" t="s">
        <v>308</v>
      </c>
      <c r="W148" s="255">
        <v>11.5</v>
      </c>
      <c r="X148" s="256" t="s">
        <v>503</v>
      </c>
      <c r="Y148" s="120">
        <v>43104</v>
      </c>
      <c r="Z148" s="121">
        <f t="shared" si="20"/>
        <v>65147500</v>
      </c>
      <c r="AA148" s="256"/>
      <c r="AB148" s="256">
        <v>231</v>
      </c>
      <c r="AC148" s="122">
        <v>43105</v>
      </c>
      <c r="AD148" s="115">
        <v>65147500</v>
      </c>
      <c r="AE148" s="129">
        <f t="shared" si="21"/>
        <v>0</v>
      </c>
      <c r="AF148" s="124">
        <v>88</v>
      </c>
      <c r="AG148" s="122">
        <v>43116</v>
      </c>
      <c r="AH148" s="123">
        <f t="shared" si="24"/>
        <v>65147500</v>
      </c>
      <c r="AI148" s="125" t="s">
        <v>504</v>
      </c>
      <c r="AJ148" s="256">
        <v>73</v>
      </c>
      <c r="AK148" s="126"/>
      <c r="AL148" s="123">
        <f t="shared" si="25"/>
        <v>65147500</v>
      </c>
      <c r="AM148" s="123">
        <v>13973667</v>
      </c>
      <c r="AN148" s="123">
        <f t="shared" si="23"/>
        <v>51173833</v>
      </c>
      <c r="AO148" s="125" t="s">
        <v>435</v>
      </c>
      <c r="AP148" s="128"/>
      <c r="AQ148" s="128"/>
      <c r="AR148" s="128"/>
      <c r="AS148" s="128"/>
      <c r="AT148" s="128"/>
    </row>
    <row r="149" spans="1:46" ht="141" x14ac:dyDescent="0.25">
      <c r="A149" s="114">
        <v>19</v>
      </c>
      <c r="B149" s="114" t="s">
        <v>505</v>
      </c>
      <c r="C149" s="98" t="s">
        <v>424</v>
      </c>
      <c r="D149" s="18" t="s">
        <v>425</v>
      </c>
      <c r="E149" s="114" t="s">
        <v>453</v>
      </c>
      <c r="F149" s="18" t="s">
        <v>53</v>
      </c>
      <c r="G149" s="18" t="s">
        <v>54</v>
      </c>
      <c r="H149" s="99" t="s">
        <v>427</v>
      </c>
      <c r="I149" s="18" t="s">
        <v>56</v>
      </c>
      <c r="J149" s="18" t="s">
        <v>57</v>
      </c>
      <c r="K149" s="76">
        <v>801116</v>
      </c>
      <c r="L149" s="76" t="s">
        <v>428</v>
      </c>
      <c r="M149" s="114" t="s">
        <v>59</v>
      </c>
      <c r="N149" s="114" t="s">
        <v>60</v>
      </c>
      <c r="O149" s="77" t="s">
        <v>429</v>
      </c>
      <c r="P149" s="114" t="s">
        <v>506</v>
      </c>
      <c r="Q149" s="115">
        <v>5253000</v>
      </c>
      <c r="R149" s="116">
        <v>1</v>
      </c>
      <c r="S149" s="115">
        <f t="shared" si="19"/>
        <v>60409500</v>
      </c>
      <c r="T149" s="255" t="s">
        <v>431</v>
      </c>
      <c r="U149" s="255" t="s">
        <v>432</v>
      </c>
      <c r="V149" s="119" t="s">
        <v>308</v>
      </c>
      <c r="W149" s="255">
        <v>11.5</v>
      </c>
      <c r="X149" s="256" t="s">
        <v>507</v>
      </c>
      <c r="Y149" s="120">
        <v>43104</v>
      </c>
      <c r="Z149" s="121">
        <f t="shared" si="20"/>
        <v>60409500</v>
      </c>
      <c r="AA149" s="256"/>
      <c r="AB149" s="256">
        <v>233</v>
      </c>
      <c r="AC149" s="122">
        <v>43105</v>
      </c>
      <c r="AD149" s="115">
        <v>60409500</v>
      </c>
      <c r="AE149" s="129">
        <f t="shared" si="21"/>
        <v>0</v>
      </c>
      <c r="AF149" s="124">
        <v>95</v>
      </c>
      <c r="AG149" s="122">
        <v>43116</v>
      </c>
      <c r="AH149" s="123">
        <f t="shared" si="24"/>
        <v>60409500</v>
      </c>
      <c r="AI149" s="125" t="s">
        <v>508</v>
      </c>
      <c r="AJ149" s="256">
        <v>72</v>
      </c>
      <c r="AK149" s="126"/>
      <c r="AL149" s="123">
        <f t="shared" si="25"/>
        <v>60409500</v>
      </c>
      <c r="AM149" s="123">
        <v>12957400</v>
      </c>
      <c r="AN149" s="123">
        <f t="shared" si="23"/>
        <v>47452100</v>
      </c>
      <c r="AO149" s="125" t="s">
        <v>435</v>
      </c>
      <c r="AP149" s="128"/>
      <c r="AQ149" s="128"/>
      <c r="AR149" s="128"/>
      <c r="AS149" s="128"/>
      <c r="AT149" s="128"/>
    </row>
    <row r="150" spans="1:46" ht="77.25" x14ac:dyDescent="0.25">
      <c r="A150" s="114">
        <v>20</v>
      </c>
      <c r="B150" s="114" t="s">
        <v>509</v>
      </c>
      <c r="C150" s="98" t="s">
        <v>424</v>
      </c>
      <c r="D150" s="18" t="s">
        <v>425</v>
      </c>
      <c r="E150" s="114" t="s">
        <v>453</v>
      </c>
      <c r="F150" s="18" t="s">
        <v>53</v>
      </c>
      <c r="G150" s="18" t="s">
        <v>54</v>
      </c>
      <c r="H150" s="99" t="s">
        <v>427</v>
      </c>
      <c r="I150" s="18" t="s">
        <v>56</v>
      </c>
      <c r="J150" s="18" t="s">
        <v>57</v>
      </c>
      <c r="K150" s="76">
        <v>801116</v>
      </c>
      <c r="L150" s="76" t="s">
        <v>428</v>
      </c>
      <c r="M150" s="114" t="s">
        <v>59</v>
      </c>
      <c r="N150" s="114" t="s">
        <v>60</v>
      </c>
      <c r="O150" s="77" t="s">
        <v>429</v>
      </c>
      <c r="P150" s="114" t="s">
        <v>474</v>
      </c>
      <c r="Q150" s="115">
        <v>3553500</v>
      </c>
      <c r="R150" s="116">
        <v>1</v>
      </c>
      <c r="S150" s="115">
        <f t="shared" si="19"/>
        <v>40865250</v>
      </c>
      <c r="T150" s="255" t="s">
        <v>431</v>
      </c>
      <c r="U150" s="255" t="s">
        <v>432</v>
      </c>
      <c r="V150" s="119" t="s">
        <v>308</v>
      </c>
      <c r="W150" s="255">
        <v>11.5</v>
      </c>
      <c r="X150" s="256" t="s">
        <v>510</v>
      </c>
      <c r="Y150" s="120">
        <v>43104</v>
      </c>
      <c r="Z150" s="121">
        <f t="shared" si="20"/>
        <v>40865250</v>
      </c>
      <c r="AA150" s="256"/>
      <c r="AB150" s="256">
        <v>243</v>
      </c>
      <c r="AC150" s="122">
        <v>43105</v>
      </c>
      <c r="AD150" s="115">
        <v>40865250</v>
      </c>
      <c r="AE150" s="129">
        <f t="shared" si="21"/>
        <v>0</v>
      </c>
      <c r="AF150" s="124">
        <v>255</v>
      </c>
      <c r="AG150" s="122">
        <v>43119</v>
      </c>
      <c r="AH150" s="123">
        <f>AD150</f>
        <v>40865250</v>
      </c>
      <c r="AI150" s="125" t="s">
        <v>511</v>
      </c>
      <c r="AJ150" s="256">
        <v>231</v>
      </c>
      <c r="AK150" s="126"/>
      <c r="AL150" s="123">
        <f>AH150</f>
        <v>40865250</v>
      </c>
      <c r="AM150" s="123">
        <v>8173050</v>
      </c>
      <c r="AN150" s="123">
        <f t="shared" si="23"/>
        <v>32692200</v>
      </c>
      <c r="AO150" s="125" t="s">
        <v>435</v>
      </c>
      <c r="AP150" s="128"/>
      <c r="AQ150" s="128"/>
      <c r="AR150" s="128"/>
      <c r="AS150" s="128"/>
      <c r="AT150" s="128"/>
    </row>
    <row r="151" spans="1:46" ht="165.75" x14ac:dyDescent="0.25">
      <c r="A151" s="114">
        <v>21</v>
      </c>
      <c r="B151" s="114" t="s">
        <v>512</v>
      </c>
      <c r="C151" s="98" t="s">
        <v>424</v>
      </c>
      <c r="D151" s="18" t="s">
        <v>425</v>
      </c>
      <c r="E151" s="114" t="s">
        <v>453</v>
      </c>
      <c r="F151" s="18" t="s">
        <v>53</v>
      </c>
      <c r="G151" s="18" t="s">
        <v>54</v>
      </c>
      <c r="H151" s="99" t="s">
        <v>427</v>
      </c>
      <c r="I151" s="18" t="s">
        <v>56</v>
      </c>
      <c r="J151" s="18" t="s">
        <v>57</v>
      </c>
      <c r="K151" s="76">
        <v>801116</v>
      </c>
      <c r="L151" s="78" t="s">
        <v>428</v>
      </c>
      <c r="M151" s="114" t="s">
        <v>59</v>
      </c>
      <c r="N151" s="114" t="s">
        <v>60</v>
      </c>
      <c r="O151" s="77" t="s">
        <v>429</v>
      </c>
      <c r="P151" s="114" t="s">
        <v>458</v>
      </c>
      <c r="Q151" s="115">
        <v>5665000</v>
      </c>
      <c r="R151" s="118">
        <v>1</v>
      </c>
      <c r="S151" s="115">
        <f>+Q151*R151*W151-65147500</f>
        <v>0</v>
      </c>
      <c r="T151" s="255" t="s">
        <v>431</v>
      </c>
      <c r="U151" s="255" t="s">
        <v>432</v>
      </c>
      <c r="V151" s="119" t="s">
        <v>308</v>
      </c>
      <c r="W151" s="255">
        <v>11.5</v>
      </c>
      <c r="X151" s="255" t="s">
        <v>513</v>
      </c>
      <c r="Y151" s="130">
        <v>43104</v>
      </c>
      <c r="Z151" s="115">
        <f t="shared" si="20"/>
        <v>0</v>
      </c>
      <c r="AA151" s="126"/>
      <c r="AB151" s="255" t="s">
        <v>514</v>
      </c>
      <c r="AC151" s="130">
        <v>43105</v>
      </c>
      <c r="AD151" s="115">
        <v>65147500</v>
      </c>
      <c r="AE151" s="126"/>
      <c r="AF151" s="131"/>
      <c r="AG151" s="128"/>
      <c r="AH151" s="126"/>
      <c r="AI151" s="125"/>
      <c r="AJ151" s="128"/>
      <c r="AK151" s="128"/>
      <c r="AL151" s="126"/>
      <c r="AM151" s="123"/>
      <c r="AN151" s="126"/>
      <c r="AO151" s="125" t="s">
        <v>435</v>
      </c>
      <c r="AP151" s="128"/>
      <c r="AQ151" s="132" t="s">
        <v>515</v>
      </c>
      <c r="AR151" s="133">
        <v>43150</v>
      </c>
      <c r="AS151" s="125" t="s">
        <v>445</v>
      </c>
      <c r="AT151" s="128"/>
    </row>
    <row r="152" spans="1:46" ht="192" x14ac:dyDescent="0.25">
      <c r="A152" s="114">
        <v>22</v>
      </c>
      <c r="B152" s="114" t="s">
        <v>516</v>
      </c>
      <c r="C152" s="98" t="s">
        <v>424</v>
      </c>
      <c r="D152" s="18" t="s">
        <v>425</v>
      </c>
      <c r="E152" s="114" t="s">
        <v>453</v>
      </c>
      <c r="F152" s="18" t="s">
        <v>53</v>
      </c>
      <c r="G152" s="18" t="s">
        <v>54</v>
      </c>
      <c r="H152" s="99" t="s">
        <v>427</v>
      </c>
      <c r="I152" s="18" t="s">
        <v>56</v>
      </c>
      <c r="J152" s="18" t="s">
        <v>57</v>
      </c>
      <c r="K152" s="76">
        <v>801116</v>
      </c>
      <c r="L152" s="76" t="s">
        <v>428</v>
      </c>
      <c r="M152" s="114" t="s">
        <v>59</v>
      </c>
      <c r="N152" s="114" t="s">
        <v>60</v>
      </c>
      <c r="O152" s="77" t="s">
        <v>429</v>
      </c>
      <c r="P152" s="114" t="s">
        <v>517</v>
      </c>
      <c r="Q152" s="115">
        <v>3553500</v>
      </c>
      <c r="R152" s="116">
        <v>1</v>
      </c>
      <c r="S152" s="115">
        <f t="shared" si="19"/>
        <v>31981500</v>
      </c>
      <c r="T152" s="255" t="s">
        <v>431</v>
      </c>
      <c r="U152" s="255" t="s">
        <v>432</v>
      </c>
      <c r="V152" s="119" t="s">
        <v>308</v>
      </c>
      <c r="W152" s="255">
        <v>9</v>
      </c>
      <c r="X152" s="256" t="s">
        <v>518</v>
      </c>
      <c r="Y152" s="120">
        <v>43104</v>
      </c>
      <c r="Z152" s="121">
        <f t="shared" si="20"/>
        <v>31981500</v>
      </c>
      <c r="AA152" s="256"/>
      <c r="AB152" s="256">
        <v>240</v>
      </c>
      <c r="AC152" s="122">
        <v>43105</v>
      </c>
      <c r="AD152" s="115">
        <v>31981500</v>
      </c>
      <c r="AE152" s="129">
        <f t="shared" ref="AE152:AE215" si="26">AD152-AL152</f>
        <v>0</v>
      </c>
      <c r="AF152" s="124">
        <v>301</v>
      </c>
      <c r="AG152" s="122">
        <v>43122</v>
      </c>
      <c r="AH152" s="123">
        <f t="shared" ref="AH152:AH202" si="27">AD152</f>
        <v>31981500</v>
      </c>
      <c r="AI152" s="125" t="s">
        <v>519</v>
      </c>
      <c r="AJ152" s="256">
        <v>266</v>
      </c>
      <c r="AK152" s="126"/>
      <c r="AL152" s="123">
        <f t="shared" ref="AL152:AL162" si="28">AH152</f>
        <v>31981500</v>
      </c>
      <c r="AM152" s="123">
        <v>8054600</v>
      </c>
      <c r="AN152" s="123">
        <f t="shared" ref="AN152:AN209" si="29">AL152-AM152</f>
        <v>23926900</v>
      </c>
      <c r="AO152" s="125" t="s">
        <v>435</v>
      </c>
      <c r="AP152" s="128"/>
      <c r="AQ152" s="128"/>
      <c r="AR152" s="128"/>
      <c r="AS152" s="128"/>
      <c r="AT152" s="128"/>
    </row>
    <row r="153" spans="1:46" ht="141" x14ac:dyDescent="0.25">
      <c r="A153" s="114">
        <v>23</v>
      </c>
      <c r="B153" s="114" t="s">
        <v>520</v>
      </c>
      <c r="C153" s="98" t="s">
        <v>424</v>
      </c>
      <c r="D153" s="18" t="s">
        <v>425</v>
      </c>
      <c r="E153" s="114" t="s">
        <v>426</v>
      </c>
      <c r="F153" s="18" t="s">
        <v>53</v>
      </c>
      <c r="G153" s="18" t="s">
        <v>54</v>
      </c>
      <c r="H153" s="99" t="s">
        <v>427</v>
      </c>
      <c r="I153" s="18" t="s">
        <v>56</v>
      </c>
      <c r="J153" s="18" t="s">
        <v>57</v>
      </c>
      <c r="K153" s="76">
        <v>801116</v>
      </c>
      <c r="L153" s="76" t="s">
        <v>428</v>
      </c>
      <c r="M153" s="114" t="s">
        <v>59</v>
      </c>
      <c r="N153" s="114" t="s">
        <v>60</v>
      </c>
      <c r="O153" s="77" t="s">
        <v>429</v>
      </c>
      <c r="P153" s="114" t="s">
        <v>521</v>
      </c>
      <c r="Q153" s="115">
        <v>8240000</v>
      </c>
      <c r="R153" s="116">
        <v>1</v>
      </c>
      <c r="S153" s="117">
        <f t="shared" si="19"/>
        <v>94760000</v>
      </c>
      <c r="T153" s="255" t="s">
        <v>431</v>
      </c>
      <c r="U153" s="255" t="s">
        <v>432</v>
      </c>
      <c r="V153" s="119" t="s">
        <v>308</v>
      </c>
      <c r="W153" s="255">
        <v>11.5</v>
      </c>
      <c r="X153" s="256" t="s">
        <v>522</v>
      </c>
      <c r="Y153" s="120">
        <v>43104</v>
      </c>
      <c r="Z153" s="121">
        <f t="shared" si="20"/>
        <v>94760000</v>
      </c>
      <c r="AA153" s="256"/>
      <c r="AB153" s="256">
        <v>241</v>
      </c>
      <c r="AC153" s="122">
        <v>43105</v>
      </c>
      <c r="AD153" s="115">
        <v>94760000</v>
      </c>
      <c r="AE153" s="129">
        <f t="shared" si="26"/>
        <v>0</v>
      </c>
      <c r="AF153" s="124">
        <v>136</v>
      </c>
      <c r="AG153" s="122">
        <v>43117</v>
      </c>
      <c r="AH153" s="123">
        <f t="shared" si="27"/>
        <v>94760000</v>
      </c>
      <c r="AI153" s="125" t="s">
        <v>523</v>
      </c>
      <c r="AJ153" s="256">
        <v>114</v>
      </c>
      <c r="AK153" s="126"/>
      <c r="AL153" s="123">
        <f t="shared" si="28"/>
        <v>94760000</v>
      </c>
      <c r="AM153" s="123">
        <v>20050666</v>
      </c>
      <c r="AN153" s="123">
        <f t="shared" si="29"/>
        <v>74709334</v>
      </c>
      <c r="AO153" s="125" t="s">
        <v>435</v>
      </c>
      <c r="AP153" s="128"/>
      <c r="AQ153" s="128"/>
      <c r="AR153" s="128"/>
      <c r="AS153" s="128"/>
      <c r="AT153" s="128"/>
    </row>
    <row r="154" spans="1:46" ht="141" x14ac:dyDescent="0.25">
      <c r="A154" s="114">
        <v>24</v>
      </c>
      <c r="B154" s="114" t="s">
        <v>524</v>
      </c>
      <c r="C154" s="98" t="s">
        <v>424</v>
      </c>
      <c r="D154" s="18" t="s">
        <v>425</v>
      </c>
      <c r="E154" s="114" t="s">
        <v>453</v>
      </c>
      <c r="F154" s="18" t="s">
        <v>53</v>
      </c>
      <c r="G154" s="18" t="s">
        <v>54</v>
      </c>
      <c r="H154" s="99" t="s">
        <v>427</v>
      </c>
      <c r="I154" s="18" t="s">
        <v>56</v>
      </c>
      <c r="J154" s="18" t="s">
        <v>57</v>
      </c>
      <c r="K154" s="76">
        <v>801116</v>
      </c>
      <c r="L154" s="76" t="s">
        <v>428</v>
      </c>
      <c r="M154" s="114" t="s">
        <v>59</v>
      </c>
      <c r="N154" s="114" t="s">
        <v>60</v>
      </c>
      <c r="O154" s="77" t="s">
        <v>429</v>
      </c>
      <c r="P154" s="114" t="s">
        <v>525</v>
      </c>
      <c r="Q154" s="115">
        <v>7210000</v>
      </c>
      <c r="R154" s="116">
        <v>1</v>
      </c>
      <c r="S154" s="115">
        <f t="shared" si="19"/>
        <v>82915000</v>
      </c>
      <c r="T154" s="255" t="s">
        <v>431</v>
      </c>
      <c r="U154" s="255" t="s">
        <v>432</v>
      </c>
      <c r="V154" s="119" t="s">
        <v>308</v>
      </c>
      <c r="W154" s="255">
        <v>11.5</v>
      </c>
      <c r="X154" s="256" t="s">
        <v>526</v>
      </c>
      <c r="Y154" s="120">
        <v>43104</v>
      </c>
      <c r="Z154" s="121">
        <f t="shared" si="20"/>
        <v>82915000</v>
      </c>
      <c r="AA154" s="256"/>
      <c r="AB154" s="256">
        <v>242</v>
      </c>
      <c r="AC154" s="122">
        <v>43105</v>
      </c>
      <c r="AD154" s="115">
        <v>82915000</v>
      </c>
      <c r="AE154" s="129">
        <f t="shared" si="26"/>
        <v>0</v>
      </c>
      <c r="AF154" s="124">
        <v>138</v>
      </c>
      <c r="AG154" s="122">
        <v>43117</v>
      </c>
      <c r="AH154" s="123">
        <f t="shared" si="27"/>
        <v>82915000</v>
      </c>
      <c r="AI154" s="125" t="s">
        <v>527</v>
      </c>
      <c r="AJ154" s="256">
        <v>115</v>
      </c>
      <c r="AK154" s="126"/>
      <c r="AL154" s="123">
        <f t="shared" si="28"/>
        <v>82915000</v>
      </c>
      <c r="AM154" s="123">
        <v>17544333</v>
      </c>
      <c r="AN154" s="123">
        <f t="shared" si="29"/>
        <v>65370667</v>
      </c>
      <c r="AO154" s="125" t="s">
        <v>435</v>
      </c>
      <c r="AP154" s="128"/>
      <c r="AQ154" s="128"/>
      <c r="AR154" s="128"/>
      <c r="AS154" s="128"/>
      <c r="AT154" s="128"/>
    </row>
    <row r="155" spans="1:46" ht="102.75" x14ac:dyDescent="0.25">
      <c r="A155" s="114">
        <v>25</v>
      </c>
      <c r="B155" s="114" t="s">
        <v>528</v>
      </c>
      <c r="C155" s="98" t="s">
        <v>424</v>
      </c>
      <c r="D155" s="18" t="s">
        <v>425</v>
      </c>
      <c r="E155" s="114" t="s">
        <v>453</v>
      </c>
      <c r="F155" s="18" t="s">
        <v>53</v>
      </c>
      <c r="G155" s="18" t="s">
        <v>54</v>
      </c>
      <c r="H155" s="99" t="s">
        <v>427</v>
      </c>
      <c r="I155" s="18" t="s">
        <v>56</v>
      </c>
      <c r="J155" s="18" t="s">
        <v>57</v>
      </c>
      <c r="K155" s="76">
        <v>801116</v>
      </c>
      <c r="L155" s="76" t="s">
        <v>428</v>
      </c>
      <c r="M155" s="114" t="s">
        <v>59</v>
      </c>
      <c r="N155" s="114" t="s">
        <v>60</v>
      </c>
      <c r="O155" s="77" t="s">
        <v>429</v>
      </c>
      <c r="P155" s="114" t="s">
        <v>529</v>
      </c>
      <c r="Q155" s="115">
        <v>3326900</v>
      </c>
      <c r="R155" s="116">
        <v>1</v>
      </c>
      <c r="S155" s="115">
        <f t="shared" si="19"/>
        <v>38259350</v>
      </c>
      <c r="T155" s="255" t="s">
        <v>431</v>
      </c>
      <c r="U155" s="255" t="s">
        <v>432</v>
      </c>
      <c r="V155" s="119" t="s">
        <v>308</v>
      </c>
      <c r="W155" s="255">
        <v>11.5</v>
      </c>
      <c r="X155" s="256" t="s">
        <v>530</v>
      </c>
      <c r="Y155" s="120">
        <v>43104</v>
      </c>
      <c r="Z155" s="121">
        <f t="shared" si="20"/>
        <v>38259350</v>
      </c>
      <c r="AA155" s="256"/>
      <c r="AB155" s="256">
        <v>244</v>
      </c>
      <c r="AC155" s="122">
        <v>43105</v>
      </c>
      <c r="AD155" s="115">
        <v>38259350</v>
      </c>
      <c r="AE155" s="129">
        <f t="shared" si="26"/>
        <v>0</v>
      </c>
      <c r="AF155" s="124">
        <v>84</v>
      </c>
      <c r="AG155" s="122">
        <v>43116</v>
      </c>
      <c r="AH155" s="123">
        <f t="shared" si="27"/>
        <v>38259350</v>
      </c>
      <c r="AI155" s="125" t="s">
        <v>531</v>
      </c>
      <c r="AJ155" s="256">
        <v>82</v>
      </c>
      <c r="AK155" s="126"/>
      <c r="AL155" s="123">
        <f t="shared" si="28"/>
        <v>38259350</v>
      </c>
      <c r="AM155" s="123">
        <v>8206354</v>
      </c>
      <c r="AN155" s="123">
        <f t="shared" si="29"/>
        <v>30052996</v>
      </c>
      <c r="AO155" s="125" t="s">
        <v>435</v>
      </c>
      <c r="AP155" s="128"/>
      <c r="AQ155" s="128"/>
      <c r="AR155" s="128"/>
      <c r="AS155" s="128"/>
      <c r="AT155" s="128"/>
    </row>
    <row r="156" spans="1:46" ht="77.25" x14ac:dyDescent="0.25">
      <c r="A156" s="114">
        <v>26</v>
      </c>
      <c r="B156" s="114" t="s">
        <v>532</v>
      </c>
      <c r="C156" s="98" t="s">
        <v>424</v>
      </c>
      <c r="D156" s="18" t="s">
        <v>425</v>
      </c>
      <c r="E156" s="114" t="s">
        <v>453</v>
      </c>
      <c r="F156" s="18" t="s">
        <v>53</v>
      </c>
      <c r="G156" s="18" t="s">
        <v>54</v>
      </c>
      <c r="H156" s="99" t="s">
        <v>427</v>
      </c>
      <c r="I156" s="18" t="s">
        <v>56</v>
      </c>
      <c r="J156" s="18" t="s">
        <v>57</v>
      </c>
      <c r="K156" s="76">
        <v>801116</v>
      </c>
      <c r="L156" s="76" t="s">
        <v>428</v>
      </c>
      <c r="M156" s="114" t="s">
        <v>59</v>
      </c>
      <c r="N156" s="114" t="s">
        <v>60</v>
      </c>
      <c r="O156" s="77" t="s">
        <v>429</v>
      </c>
      <c r="P156" s="114" t="s">
        <v>474</v>
      </c>
      <c r="Q156" s="115">
        <v>3553500</v>
      </c>
      <c r="R156" s="116">
        <v>1</v>
      </c>
      <c r="S156" s="115">
        <f t="shared" si="19"/>
        <v>40865250</v>
      </c>
      <c r="T156" s="255" t="s">
        <v>533</v>
      </c>
      <c r="U156" s="255" t="s">
        <v>432</v>
      </c>
      <c r="V156" s="119" t="s">
        <v>308</v>
      </c>
      <c r="W156" s="255">
        <v>11.5</v>
      </c>
      <c r="X156" s="256" t="s">
        <v>534</v>
      </c>
      <c r="Y156" s="120">
        <v>43104</v>
      </c>
      <c r="Z156" s="121">
        <f t="shared" si="20"/>
        <v>40865250</v>
      </c>
      <c r="AA156" s="256"/>
      <c r="AB156" s="256">
        <v>245</v>
      </c>
      <c r="AC156" s="122">
        <v>43105</v>
      </c>
      <c r="AD156" s="115">
        <v>40865250</v>
      </c>
      <c r="AE156" s="129">
        <f t="shared" si="26"/>
        <v>0</v>
      </c>
      <c r="AF156" s="124">
        <v>234</v>
      </c>
      <c r="AG156" s="122">
        <v>43119</v>
      </c>
      <c r="AH156" s="123">
        <f t="shared" si="27"/>
        <v>40865250</v>
      </c>
      <c r="AI156" s="125" t="s">
        <v>535</v>
      </c>
      <c r="AJ156" s="256">
        <v>210</v>
      </c>
      <c r="AK156" s="126"/>
      <c r="AL156" s="123">
        <f t="shared" si="28"/>
        <v>40865250</v>
      </c>
      <c r="AM156" s="123">
        <v>8528400</v>
      </c>
      <c r="AN156" s="123">
        <f t="shared" si="29"/>
        <v>32336850</v>
      </c>
      <c r="AO156" s="125" t="s">
        <v>435</v>
      </c>
      <c r="AP156" s="128"/>
      <c r="AQ156" s="128"/>
      <c r="AR156" s="128"/>
      <c r="AS156" s="128"/>
      <c r="AT156" s="128"/>
    </row>
    <row r="157" spans="1:46" ht="77.25" x14ac:dyDescent="0.25">
      <c r="A157" s="114">
        <v>27</v>
      </c>
      <c r="B157" s="114" t="s">
        <v>536</v>
      </c>
      <c r="C157" s="98" t="s">
        <v>424</v>
      </c>
      <c r="D157" s="18" t="s">
        <v>425</v>
      </c>
      <c r="E157" s="114" t="s">
        <v>426</v>
      </c>
      <c r="F157" s="18" t="s">
        <v>53</v>
      </c>
      <c r="G157" s="18" t="s">
        <v>54</v>
      </c>
      <c r="H157" s="99" t="s">
        <v>427</v>
      </c>
      <c r="I157" s="18" t="s">
        <v>56</v>
      </c>
      <c r="J157" s="18" t="s">
        <v>57</v>
      </c>
      <c r="K157" s="76">
        <v>801116</v>
      </c>
      <c r="L157" s="76" t="s">
        <v>428</v>
      </c>
      <c r="M157" s="114" t="s">
        <v>59</v>
      </c>
      <c r="N157" s="114" t="s">
        <v>60</v>
      </c>
      <c r="O157" s="77" t="s">
        <v>429</v>
      </c>
      <c r="P157" s="114" t="s">
        <v>537</v>
      </c>
      <c r="Q157" s="115">
        <v>7210000</v>
      </c>
      <c r="R157" s="116">
        <v>1</v>
      </c>
      <c r="S157" s="117">
        <f t="shared" si="19"/>
        <v>82915000</v>
      </c>
      <c r="T157" s="255" t="s">
        <v>533</v>
      </c>
      <c r="U157" s="255" t="s">
        <v>432</v>
      </c>
      <c r="V157" s="119" t="s">
        <v>308</v>
      </c>
      <c r="W157" s="255">
        <v>11.5</v>
      </c>
      <c r="X157" s="256" t="s">
        <v>538</v>
      </c>
      <c r="Y157" s="120">
        <v>43104</v>
      </c>
      <c r="Z157" s="121">
        <f t="shared" si="20"/>
        <v>82915000</v>
      </c>
      <c r="AA157" s="256"/>
      <c r="AB157" s="256">
        <v>246</v>
      </c>
      <c r="AC157" s="122">
        <v>43105</v>
      </c>
      <c r="AD157" s="115">
        <v>82915000</v>
      </c>
      <c r="AE157" s="129">
        <f t="shared" si="26"/>
        <v>0</v>
      </c>
      <c r="AF157" s="124">
        <v>297</v>
      </c>
      <c r="AG157" s="122">
        <v>43122</v>
      </c>
      <c r="AH157" s="123">
        <f t="shared" si="27"/>
        <v>82915000</v>
      </c>
      <c r="AI157" s="125" t="s">
        <v>539</v>
      </c>
      <c r="AJ157" s="256">
        <v>270</v>
      </c>
      <c r="AK157" s="126"/>
      <c r="AL157" s="123">
        <f t="shared" si="28"/>
        <v>82915000</v>
      </c>
      <c r="AM157" s="123">
        <v>16342667</v>
      </c>
      <c r="AN157" s="123">
        <f t="shared" si="29"/>
        <v>66572333</v>
      </c>
      <c r="AO157" s="125" t="s">
        <v>435</v>
      </c>
      <c r="AP157" s="128"/>
      <c r="AQ157" s="128"/>
      <c r="AR157" s="128"/>
      <c r="AS157" s="128"/>
      <c r="AT157" s="128"/>
    </row>
    <row r="158" spans="1:46" ht="141" x14ac:dyDescent="0.25">
      <c r="A158" s="114">
        <v>28</v>
      </c>
      <c r="B158" s="114" t="s">
        <v>540</v>
      </c>
      <c r="C158" s="98" t="s">
        <v>424</v>
      </c>
      <c r="D158" s="18" t="s">
        <v>425</v>
      </c>
      <c r="E158" s="114" t="s">
        <v>453</v>
      </c>
      <c r="F158" s="18" t="s">
        <v>53</v>
      </c>
      <c r="G158" s="18" t="s">
        <v>54</v>
      </c>
      <c r="H158" s="99" t="s">
        <v>427</v>
      </c>
      <c r="I158" s="18" t="s">
        <v>56</v>
      </c>
      <c r="J158" s="18" t="s">
        <v>57</v>
      </c>
      <c r="K158" s="76">
        <v>801116</v>
      </c>
      <c r="L158" s="76" t="s">
        <v>428</v>
      </c>
      <c r="M158" s="114" t="s">
        <v>59</v>
      </c>
      <c r="N158" s="114" t="s">
        <v>60</v>
      </c>
      <c r="O158" s="77" t="s">
        <v>429</v>
      </c>
      <c r="P158" s="114" t="s">
        <v>506</v>
      </c>
      <c r="Q158" s="115">
        <v>5253000</v>
      </c>
      <c r="R158" s="116">
        <v>1</v>
      </c>
      <c r="S158" s="115">
        <f t="shared" si="19"/>
        <v>60409500</v>
      </c>
      <c r="T158" s="255" t="s">
        <v>533</v>
      </c>
      <c r="U158" s="255" t="s">
        <v>432</v>
      </c>
      <c r="V158" s="119" t="s">
        <v>308</v>
      </c>
      <c r="W158" s="255">
        <v>11.5</v>
      </c>
      <c r="X158" s="256" t="s">
        <v>541</v>
      </c>
      <c r="Y158" s="120">
        <v>43104</v>
      </c>
      <c r="Z158" s="121">
        <f t="shared" si="20"/>
        <v>60409500</v>
      </c>
      <c r="AA158" s="256"/>
      <c r="AB158" s="256">
        <v>247</v>
      </c>
      <c r="AC158" s="122">
        <v>43105</v>
      </c>
      <c r="AD158" s="115">
        <v>60409500</v>
      </c>
      <c r="AE158" s="129">
        <f t="shared" si="26"/>
        <v>0</v>
      </c>
      <c r="AF158" s="124">
        <v>253</v>
      </c>
      <c r="AG158" s="122">
        <v>43119</v>
      </c>
      <c r="AH158" s="123">
        <f t="shared" si="27"/>
        <v>60409500</v>
      </c>
      <c r="AI158" s="125" t="s">
        <v>542</v>
      </c>
      <c r="AJ158" s="256">
        <v>202</v>
      </c>
      <c r="AK158" s="126"/>
      <c r="AL158" s="123">
        <f t="shared" si="28"/>
        <v>60409500</v>
      </c>
      <c r="AM158" s="123">
        <v>12607200</v>
      </c>
      <c r="AN158" s="123">
        <f t="shared" si="29"/>
        <v>47802300</v>
      </c>
      <c r="AO158" s="125" t="s">
        <v>435</v>
      </c>
      <c r="AP158" s="128"/>
      <c r="AQ158" s="128"/>
      <c r="AR158" s="128"/>
      <c r="AS158" s="128"/>
      <c r="AT158" s="128"/>
    </row>
    <row r="159" spans="1:46" ht="102.75" x14ac:dyDescent="0.25">
      <c r="A159" s="114">
        <v>29</v>
      </c>
      <c r="B159" s="114" t="s">
        <v>543</v>
      </c>
      <c r="C159" s="98" t="s">
        <v>424</v>
      </c>
      <c r="D159" s="18" t="s">
        <v>425</v>
      </c>
      <c r="E159" s="114" t="s">
        <v>453</v>
      </c>
      <c r="F159" s="18" t="s">
        <v>53</v>
      </c>
      <c r="G159" s="18" t="s">
        <v>54</v>
      </c>
      <c r="H159" s="99" t="s">
        <v>427</v>
      </c>
      <c r="I159" s="18" t="s">
        <v>56</v>
      </c>
      <c r="J159" s="18" t="s">
        <v>57</v>
      </c>
      <c r="K159" s="76">
        <v>801116</v>
      </c>
      <c r="L159" s="76" t="s">
        <v>428</v>
      </c>
      <c r="M159" s="114" t="s">
        <v>59</v>
      </c>
      <c r="N159" s="114" t="s">
        <v>60</v>
      </c>
      <c r="O159" s="77" t="s">
        <v>429</v>
      </c>
      <c r="P159" s="114" t="s">
        <v>544</v>
      </c>
      <c r="Q159" s="115">
        <v>8240000</v>
      </c>
      <c r="R159" s="116">
        <v>1</v>
      </c>
      <c r="S159" s="115">
        <f t="shared" si="19"/>
        <v>94760000</v>
      </c>
      <c r="T159" s="255" t="s">
        <v>533</v>
      </c>
      <c r="U159" s="255" t="s">
        <v>432</v>
      </c>
      <c r="V159" s="119" t="s">
        <v>308</v>
      </c>
      <c r="W159" s="255">
        <v>11.5</v>
      </c>
      <c r="X159" s="256" t="s">
        <v>545</v>
      </c>
      <c r="Y159" s="120">
        <v>43104</v>
      </c>
      <c r="Z159" s="121">
        <f t="shared" si="20"/>
        <v>94760000</v>
      </c>
      <c r="AA159" s="256"/>
      <c r="AB159" s="256">
        <v>248</v>
      </c>
      <c r="AC159" s="122">
        <v>43105</v>
      </c>
      <c r="AD159" s="115">
        <v>94760000</v>
      </c>
      <c r="AE159" s="129">
        <f t="shared" si="26"/>
        <v>0</v>
      </c>
      <c r="AF159" s="124">
        <v>207</v>
      </c>
      <c r="AG159" s="122">
        <v>43118</v>
      </c>
      <c r="AH159" s="123">
        <f t="shared" si="27"/>
        <v>94760000</v>
      </c>
      <c r="AI159" s="125" t="s">
        <v>546</v>
      </c>
      <c r="AJ159" s="256">
        <v>172</v>
      </c>
      <c r="AK159" s="126"/>
      <c r="AL159" s="123">
        <f t="shared" si="28"/>
        <v>94760000</v>
      </c>
      <c r="AM159" s="123">
        <v>19776000</v>
      </c>
      <c r="AN159" s="123">
        <f t="shared" si="29"/>
        <v>74984000</v>
      </c>
      <c r="AO159" s="125" t="s">
        <v>435</v>
      </c>
      <c r="AP159" s="128"/>
      <c r="AQ159" s="128"/>
      <c r="AR159" s="128"/>
      <c r="AS159" s="128"/>
      <c r="AT159" s="128"/>
    </row>
    <row r="160" spans="1:46" ht="90" x14ac:dyDescent="0.25">
      <c r="A160" s="114">
        <v>30</v>
      </c>
      <c r="B160" s="114" t="s">
        <v>547</v>
      </c>
      <c r="C160" s="98" t="s">
        <v>424</v>
      </c>
      <c r="D160" s="18" t="s">
        <v>425</v>
      </c>
      <c r="E160" s="114" t="s">
        <v>426</v>
      </c>
      <c r="F160" s="18" t="s">
        <v>53</v>
      </c>
      <c r="G160" s="18" t="s">
        <v>54</v>
      </c>
      <c r="H160" s="99" t="s">
        <v>427</v>
      </c>
      <c r="I160" s="18" t="s">
        <v>56</v>
      </c>
      <c r="J160" s="18" t="s">
        <v>57</v>
      </c>
      <c r="K160" s="76">
        <v>801116</v>
      </c>
      <c r="L160" s="76" t="s">
        <v>428</v>
      </c>
      <c r="M160" s="114" t="s">
        <v>59</v>
      </c>
      <c r="N160" s="114" t="s">
        <v>60</v>
      </c>
      <c r="O160" s="77" t="s">
        <v>429</v>
      </c>
      <c r="P160" s="114" t="s">
        <v>548</v>
      </c>
      <c r="Q160" s="115">
        <v>7210000</v>
      </c>
      <c r="R160" s="116">
        <v>1</v>
      </c>
      <c r="S160" s="117">
        <f t="shared" si="19"/>
        <v>82915000</v>
      </c>
      <c r="T160" s="255" t="s">
        <v>533</v>
      </c>
      <c r="U160" s="255" t="s">
        <v>432</v>
      </c>
      <c r="V160" s="119" t="s">
        <v>308</v>
      </c>
      <c r="W160" s="255">
        <v>11.5</v>
      </c>
      <c r="X160" s="256" t="s">
        <v>549</v>
      </c>
      <c r="Y160" s="120">
        <v>43104</v>
      </c>
      <c r="Z160" s="121">
        <f t="shared" si="20"/>
        <v>82915000</v>
      </c>
      <c r="AA160" s="256"/>
      <c r="AB160" s="256">
        <v>249</v>
      </c>
      <c r="AC160" s="122">
        <v>43105</v>
      </c>
      <c r="AD160" s="115">
        <v>82915000</v>
      </c>
      <c r="AE160" s="129">
        <f t="shared" si="26"/>
        <v>0</v>
      </c>
      <c r="AF160" s="124">
        <v>246</v>
      </c>
      <c r="AG160" s="122">
        <v>43119</v>
      </c>
      <c r="AH160" s="123">
        <f t="shared" si="27"/>
        <v>82915000</v>
      </c>
      <c r="AI160" s="125" t="s">
        <v>550</v>
      </c>
      <c r="AJ160" s="256">
        <v>215</v>
      </c>
      <c r="AK160" s="126"/>
      <c r="AL160" s="123">
        <f t="shared" si="28"/>
        <v>82915000</v>
      </c>
      <c r="AM160" s="123">
        <v>17304000</v>
      </c>
      <c r="AN160" s="123">
        <f t="shared" si="29"/>
        <v>65611000</v>
      </c>
      <c r="AO160" s="125" t="s">
        <v>435</v>
      </c>
      <c r="AP160" s="128"/>
      <c r="AQ160" s="128"/>
      <c r="AR160" s="128"/>
      <c r="AS160" s="128"/>
      <c r="AT160" s="128"/>
    </row>
    <row r="161" spans="1:46" ht="90" x14ac:dyDescent="0.25">
      <c r="A161" s="114">
        <v>31</v>
      </c>
      <c r="B161" s="114" t="s">
        <v>551</v>
      </c>
      <c r="C161" s="98" t="s">
        <v>424</v>
      </c>
      <c r="D161" s="18" t="s">
        <v>425</v>
      </c>
      <c r="E161" s="114" t="s">
        <v>453</v>
      </c>
      <c r="F161" s="18" t="s">
        <v>53</v>
      </c>
      <c r="G161" s="18" t="s">
        <v>54</v>
      </c>
      <c r="H161" s="99" t="s">
        <v>427</v>
      </c>
      <c r="I161" s="18" t="s">
        <v>56</v>
      </c>
      <c r="J161" s="18" t="s">
        <v>57</v>
      </c>
      <c r="K161" s="76">
        <v>801116</v>
      </c>
      <c r="L161" s="76" t="s">
        <v>428</v>
      </c>
      <c r="M161" s="114" t="s">
        <v>59</v>
      </c>
      <c r="N161" s="114" t="s">
        <v>60</v>
      </c>
      <c r="O161" s="77" t="s">
        <v>429</v>
      </c>
      <c r="P161" s="114" t="s">
        <v>552</v>
      </c>
      <c r="Q161" s="115">
        <v>5665000</v>
      </c>
      <c r="R161" s="116">
        <v>1</v>
      </c>
      <c r="S161" s="115">
        <f t="shared" si="19"/>
        <v>65147500</v>
      </c>
      <c r="T161" s="255" t="s">
        <v>533</v>
      </c>
      <c r="U161" s="255" t="s">
        <v>432</v>
      </c>
      <c r="V161" s="119" t="s">
        <v>308</v>
      </c>
      <c r="W161" s="255">
        <v>11.5</v>
      </c>
      <c r="X161" s="256" t="s">
        <v>553</v>
      </c>
      <c r="Y161" s="120">
        <v>43104</v>
      </c>
      <c r="Z161" s="121">
        <f t="shared" si="20"/>
        <v>65147500</v>
      </c>
      <c r="AA161" s="256"/>
      <c r="AB161" s="256">
        <v>250</v>
      </c>
      <c r="AC161" s="122">
        <v>43105</v>
      </c>
      <c r="AD161" s="115">
        <v>65147500</v>
      </c>
      <c r="AE161" s="129">
        <f t="shared" si="26"/>
        <v>0</v>
      </c>
      <c r="AF161" s="124">
        <v>361</v>
      </c>
      <c r="AG161" s="122">
        <v>43123</v>
      </c>
      <c r="AH161" s="123">
        <f t="shared" si="27"/>
        <v>65147500</v>
      </c>
      <c r="AI161" s="125" t="s">
        <v>554</v>
      </c>
      <c r="AJ161" s="256">
        <v>302</v>
      </c>
      <c r="AK161" s="126"/>
      <c r="AL161" s="123">
        <f t="shared" si="28"/>
        <v>65147500</v>
      </c>
      <c r="AM161" s="123">
        <v>12463000</v>
      </c>
      <c r="AN161" s="123">
        <f t="shared" si="29"/>
        <v>52684500</v>
      </c>
      <c r="AO161" s="125" t="s">
        <v>435</v>
      </c>
      <c r="AP161" s="128"/>
      <c r="AQ161" s="128"/>
      <c r="AR161" s="128"/>
      <c r="AS161" s="128"/>
      <c r="AT161" s="128"/>
    </row>
    <row r="162" spans="1:46" ht="128.25" x14ac:dyDescent="0.25">
      <c r="A162" s="114">
        <v>32</v>
      </c>
      <c r="B162" s="114" t="s">
        <v>555</v>
      </c>
      <c r="C162" s="98" t="s">
        <v>424</v>
      </c>
      <c r="D162" s="18" t="s">
        <v>425</v>
      </c>
      <c r="E162" s="114" t="s">
        <v>453</v>
      </c>
      <c r="F162" s="18" t="s">
        <v>53</v>
      </c>
      <c r="G162" s="18" t="s">
        <v>54</v>
      </c>
      <c r="H162" s="99" t="s">
        <v>427</v>
      </c>
      <c r="I162" s="18" t="s">
        <v>56</v>
      </c>
      <c r="J162" s="18" t="s">
        <v>57</v>
      </c>
      <c r="K162" s="76">
        <v>801116</v>
      </c>
      <c r="L162" s="76" t="s">
        <v>428</v>
      </c>
      <c r="M162" s="114" t="s">
        <v>59</v>
      </c>
      <c r="N162" s="114" t="s">
        <v>60</v>
      </c>
      <c r="O162" s="77" t="s">
        <v>429</v>
      </c>
      <c r="P162" s="114" t="s">
        <v>458</v>
      </c>
      <c r="Q162" s="115">
        <v>5665000</v>
      </c>
      <c r="R162" s="116">
        <v>1</v>
      </c>
      <c r="S162" s="115">
        <f t="shared" si="19"/>
        <v>65147500</v>
      </c>
      <c r="T162" s="255" t="s">
        <v>533</v>
      </c>
      <c r="U162" s="255" t="s">
        <v>432</v>
      </c>
      <c r="V162" s="119" t="s">
        <v>308</v>
      </c>
      <c r="W162" s="255">
        <v>11.5</v>
      </c>
      <c r="X162" s="256" t="s">
        <v>556</v>
      </c>
      <c r="Y162" s="120">
        <v>43104</v>
      </c>
      <c r="Z162" s="121">
        <f t="shared" si="20"/>
        <v>65147500</v>
      </c>
      <c r="AA162" s="256"/>
      <c r="AB162" s="256">
        <v>251</v>
      </c>
      <c r="AC162" s="122">
        <v>43105</v>
      </c>
      <c r="AD162" s="115">
        <v>65147500</v>
      </c>
      <c r="AE162" s="129">
        <f t="shared" si="26"/>
        <v>0</v>
      </c>
      <c r="AF162" s="124">
        <v>215</v>
      </c>
      <c r="AG162" s="122">
        <v>43118</v>
      </c>
      <c r="AH162" s="123">
        <f t="shared" si="27"/>
        <v>65147500</v>
      </c>
      <c r="AI162" s="125" t="s">
        <v>557</v>
      </c>
      <c r="AJ162" s="256">
        <v>176</v>
      </c>
      <c r="AK162" s="126"/>
      <c r="AL162" s="123">
        <f t="shared" si="28"/>
        <v>65147500</v>
      </c>
      <c r="AM162" s="123">
        <v>13596000</v>
      </c>
      <c r="AN162" s="123">
        <f t="shared" si="29"/>
        <v>51551500</v>
      </c>
      <c r="AO162" s="125" t="s">
        <v>435</v>
      </c>
      <c r="AP162" s="128"/>
      <c r="AQ162" s="128"/>
      <c r="AR162" s="128"/>
      <c r="AS162" s="128"/>
      <c r="AT162" s="128"/>
    </row>
    <row r="163" spans="1:46" ht="153.75" x14ac:dyDescent="0.25">
      <c r="A163" s="114">
        <v>33</v>
      </c>
      <c r="B163" s="114" t="s">
        <v>558</v>
      </c>
      <c r="C163" s="98" t="s">
        <v>424</v>
      </c>
      <c r="D163" s="18" t="s">
        <v>425</v>
      </c>
      <c r="E163" s="114" t="s">
        <v>453</v>
      </c>
      <c r="F163" s="18" t="s">
        <v>53</v>
      </c>
      <c r="G163" s="18" t="s">
        <v>54</v>
      </c>
      <c r="H163" s="99" t="s">
        <v>427</v>
      </c>
      <c r="I163" s="18" t="s">
        <v>56</v>
      </c>
      <c r="J163" s="18" t="s">
        <v>57</v>
      </c>
      <c r="K163" s="76">
        <v>801116</v>
      </c>
      <c r="L163" s="76" t="s">
        <v>428</v>
      </c>
      <c r="M163" s="114" t="s">
        <v>59</v>
      </c>
      <c r="N163" s="114" t="s">
        <v>60</v>
      </c>
      <c r="O163" s="77" t="s">
        <v>429</v>
      </c>
      <c r="P163" s="114" t="s">
        <v>559</v>
      </c>
      <c r="Q163" s="115">
        <v>7210000</v>
      </c>
      <c r="R163" s="116">
        <v>1</v>
      </c>
      <c r="S163" s="115">
        <f t="shared" si="19"/>
        <v>82915000</v>
      </c>
      <c r="T163" s="255" t="s">
        <v>533</v>
      </c>
      <c r="U163" s="255" t="s">
        <v>432</v>
      </c>
      <c r="V163" s="119" t="s">
        <v>308</v>
      </c>
      <c r="W163" s="255">
        <v>11.5</v>
      </c>
      <c r="X163" s="256" t="s">
        <v>560</v>
      </c>
      <c r="Y163" s="120">
        <v>43104</v>
      </c>
      <c r="Z163" s="121">
        <f t="shared" si="20"/>
        <v>82915000</v>
      </c>
      <c r="AA163" s="256"/>
      <c r="AB163" s="256">
        <v>252</v>
      </c>
      <c r="AC163" s="122">
        <v>43105</v>
      </c>
      <c r="AD163" s="115">
        <v>82915000</v>
      </c>
      <c r="AE163" s="129">
        <f t="shared" si="26"/>
        <v>0</v>
      </c>
      <c r="AF163" s="124">
        <v>264</v>
      </c>
      <c r="AG163" s="122">
        <v>43119</v>
      </c>
      <c r="AH163" s="123">
        <f t="shared" si="27"/>
        <v>82915000</v>
      </c>
      <c r="AI163" s="125" t="s">
        <v>561</v>
      </c>
      <c r="AJ163" s="256">
        <v>230</v>
      </c>
      <c r="AK163" s="126"/>
      <c r="AL163" s="123">
        <f>AD163</f>
        <v>82915000</v>
      </c>
      <c r="AM163" s="123">
        <v>16583000</v>
      </c>
      <c r="AN163" s="123">
        <f t="shared" si="29"/>
        <v>66332000</v>
      </c>
      <c r="AO163" s="125" t="s">
        <v>435</v>
      </c>
      <c r="AP163" s="128"/>
      <c r="AQ163" s="128"/>
      <c r="AR163" s="128"/>
      <c r="AS163" s="128"/>
      <c r="AT163" s="128"/>
    </row>
    <row r="164" spans="1:46" ht="90" x14ac:dyDescent="0.25">
      <c r="A164" s="114">
        <v>34</v>
      </c>
      <c r="B164" s="114" t="s">
        <v>562</v>
      </c>
      <c r="C164" s="98" t="s">
        <v>424</v>
      </c>
      <c r="D164" s="18" t="s">
        <v>425</v>
      </c>
      <c r="E164" s="114" t="s">
        <v>453</v>
      </c>
      <c r="F164" s="18" t="s">
        <v>53</v>
      </c>
      <c r="G164" s="18" t="s">
        <v>54</v>
      </c>
      <c r="H164" s="99" t="s">
        <v>427</v>
      </c>
      <c r="I164" s="18" t="s">
        <v>56</v>
      </c>
      <c r="J164" s="18" t="s">
        <v>57</v>
      </c>
      <c r="K164" s="76">
        <v>801116</v>
      </c>
      <c r="L164" s="76" t="s">
        <v>428</v>
      </c>
      <c r="M164" s="114" t="s">
        <v>59</v>
      </c>
      <c r="N164" s="114" t="s">
        <v>60</v>
      </c>
      <c r="O164" s="77" t="s">
        <v>429</v>
      </c>
      <c r="P164" s="114" t="s">
        <v>563</v>
      </c>
      <c r="Q164" s="115">
        <v>8240000</v>
      </c>
      <c r="R164" s="116">
        <v>1</v>
      </c>
      <c r="S164" s="115">
        <f t="shared" si="19"/>
        <v>94760000</v>
      </c>
      <c r="T164" s="255" t="s">
        <v>533</v>
      </c>
      <c r="U164" s="255" t="s">
        <v>432</v>
      </c>
      <c r="V164" s="119" t="s">
        <v>308</v>
      </c>
      <c r="W164" s="255">
        <v>11.5</v>
      </c>
      <c r="X164" s="256" t="s">
        <v>564</v>
      </c>
      <c r="Y164" s="120">
        <v>43104</v>
      </c>
      <c r="Z164" s="121">
        <f t="shared" si="20"/>
        <v>94760000</v>
      </c>
      <c r="AA164" s="256"/>
      <c r="AB164" s="256">
        <v>253</v>
      </c>
      <c r="AC164" s="122">
        <v>43105</v>
      </c>
      <c r="AD164" s="115">
        <v>94760000</v>
      </c>
      <c r="AE164" s="129">
        <f t="shared" si="26"/>
        <v>0</v>
      </c>
      <c r="AF164" s="124">
        <v>258</v>
      </c>
      <c r="AG164" s="122">
        <v>43119</v>
      </c>
      <c r="AH164" s="123">
        <f t="shared" si="27"/>
        <v>94760000</v>
      </c>
      <c r="AI164" s="125" t="s">
        <v>565</v>
      </c>
      <c r="AJ164" s="256">
        <v>232</v>
      </c>
      <c r="AK164" s="126"/>
      <c r="AL164" s="123">
        <f t="shared" ref="AL164:AL219" si="30">AH164</f>
        <v>94760000</v>
      </c>
      <c r="AM164" s="123">
        <v>18952000</v>
      </c>
      <c r="AN164" s="123">
        <f t="shared" si="29"/>
        <v>75808000</v>
      </c>
      <c r="AO164" s="125" t="s">
        <v>435</v>
      </c>
      <c r="AP164" s="128"/>
      <c r="AQ164" s="128"/>
      <c r="AR164" s="128"/>
      <c r="AS164" s="128"/>
      <c r="AT164" s="128"/>
    </row>
    <row r="165" spans="1:46" ht="90" x14ac:dyDescent="0.25">
      <c r="A165" s="114">
        <v>35</v>
      </c>
      <c r="B165" s="114" t="s">
        <v>566</v>
      </c>
      <c r="C165" s="98" t="s">
        <v>424</v>
      </c>
      <c r="D165" s="18" t="s">
        <v>425</v>
      </c>
      <c r="E165" s="114" t="s">
        <v>453</v>
      </c>
      <c r="F165" s="18" t="s">
        <v>53</v>
      </c>
      <c r="G165" s="18" t="s">
        <v>54</v>
      </c>
      <c r="H165" s="99" t="s">
        <v>427</v>
      </c>
      <c r="I165" s="18" t="s">
        <v>56</v>
      </c>
      <c r="J165" s="18" t="s">
        <v>57</v>
      </c>
      <c r="K165" s="76">
        <v>801116</v>
      </c>
      <c r="L165" s="76" t="s">
        <v>428</v>
      </c>
      <c r="M165" s="114" t="s">
        <v>59</v>
      </c>
      <c r="N165" s="114" t="s">
        <v>60</v>
      </c>
      <c r="O165" s="77" t="s">
        <v>429</v>
      </c>
      <c r="P165" s="114" t="s">
        <v>552</v>
      </c>
      <c r="Q165" s="115">
        <v>5665000</v>
      </c>
      <c r="R165" s="116">
        <v>1</v>
      </c>
      <c r="S165" s="115">
        <f t="shared" si="19"/>
        <v>65147500</v>
      </c>
      <c r="T165" s="255" t="s">
        <v>533</v>
      </c>
      <c r="U165" s="255" t="s">
        <v>432</v>
      </c>
      <c r="V165" s="119" t="s">
        <v>308</v>
      </c>
      <c r="W165" s="255">
        <v>11.5</v>
      </c>
      <c r="X165" s="256" t="s">
        <v>567</v>
      </c>
      <c r="Y165" s="120">
        <v>43104</v>
      </c>
      <c r="Z165" s="121">
        <f t="shared" si="20"/>
        <v>65147500</v>
      </c>
      <c r="AA165" s="256"/>
      <c r="AB165" s="256">
        <v>254</v>
      </c>
      <c r="AC165" s="122">
        <v>43105</v>
      </c>
      <c r="AD165" s="115">
        <v>65147500</v>
      </c>
      <c r="AE165" s="129">
        <f t="shared" si="26"/>
        <v>0</v>
      </c>
      <c r="AF165" s="124">
        <v>250</v>
      </c>
      <c r="AG165" s="122">
        <v>43119</v>
      </c>
      <c r="AH165" s="123">
        <f t="shared" si="27"/>
        <v>65147500</v>
      </c>
      <c r="AI165" s="125" t="s">
        <v>568</v>
      </c>
      <c r="AJ165" s="256">
        <v>205</v>
      </c>
      <c r="AK165" s="126"/>
      <c r="AL165" s="123">
        <f t="shared" si="30"/>
        <v>65147500</v>
      </c>
      <c r="AM165" s="123">
        <v>13596000</v>
      </c>
      <c r="AN165" s="123">
        <f t="shared" si="29"/>
        <v>51551500</v>
      </c>
      <c r="AO165" s="125" t="s">
        <v>435</v>
      </c>
      <c r="AP165" s="128"/>
      <c r="AQ165" s="128"/>
      <c r="AR165" s="128"/>
      <c r="AS165" s="128"/>
      <c r="AT165" s="128"/>
    </row>
    <row r="166" spans="1:46" ht="128.25" x14ac:dyDescent="0.25">
      <c r="A166" s="114">
        <v>36</v>
      </c>
      <c r="B166" s="114" t="s">
        <v>569</v>
      </c>
      <c r="C166" s="98" t="s">
        <v>424</v>
      </c>
      <c r="D166" s="18" t="s">
        <v>425</v>
      </c>
      <c r="E166" s="114" t="s">
        <v>453</v>
      </c>
      <c r="F166" s="18" t="s">
        <v>53</v>
      </c>
      <c r="G166" s="18" t="s">
        <v>54</v>
      </c>
      <c r="H166" s="99" t="s">
        <v>427</v>
      </c>
      <c r="I166" s="18" t="s">
        <v>56</v>
      </c>
      <c r="J166" s="18" t="s">
        <v>57</v>
      </c>
      <c r="K166" s="76">
        <v>801116</v>
      </c>
      <c r="L166" s="76" t="s">
        <v>428</v>
      </c>
      <c r="M166" s="114" t="s">
        <v>59</v>
      </c>
      <c r="N166" s="114" t="s">
        <v>60</v>
      </c>
      <c r="O166" s="77" t="s">
        <v>429</v>
      </c>
      <c r="P166" s="114" t="s">
        <v>570</v>
      </c>
      <c r="Q166" s="115">
        <v>4532000</v>
      </c>
      <c r="R166" s="116">
        <v>1</v>
      </c>
      <c r="S166" s="115">
        <f t="shared" si="19"/>
        <v>52118000</v>
      </c>
      <c r="T166" s="255" t="s">
        <v>533</v>
      </c>
      <c r="U166" s="255" t="s">
        <v>432</v>
      </c>
      <c r="V166" s="119" t="s">
        <v>308</v>
      </c>
      <c r="W166" s="255">
        <v>11.5</v>
      </c>
      <c r="X166" s="256" t="s">
        <v>571</v>
      </c>
      <c r="Y166" s="120">
        <v>43104</v>
      </c>
      <c r="Z166" s="121">
        <f t="shared" si="20"/>
        <v>52118000</v>
      </c>
      <c r="AA166" s="256"/>
      <c r="AB166" s="256">
        <v>255</v>
      </c>
      <c r="AC166" s="122">
        <v>43105</v>
      </c>
      <c r="AD166" s="115">
        <v>52118000</v>
      </c>
      <c r="AE166" s="129">
        <f t="shared" si="26"/>
        <v>0</v>
      </c>
      <c r="AF166" s="124">
        <v>206</v>
      </c>
      <c r="AG166" s="122">
        <v>43118</v>
      </c>
      <c r="AH166" s="123">
        <f t="shared" si="27"/>
        <v>52118000</v>
      </c>
      <c r="AI166" s="125" t="s">
        <v>572</v>
      </c>
      <c r="AJ166" s="256">
        <v>173</v>
      </c>
      <c r="AK166" s="126"/>
      <c r="AL166" s="123">
        <f t="shared" si="30"/>
        <v>52118000</v>
      </c>
      <c r="AM166" s="123">
        <v>10876800</v>
      </c>
      <c r="AN166" s="123">
        <f t="shared" si="29"/>
        <v>41241200</v>
      </c>
      <c r="AO166" s="125" t="s">
        <v>435</v>
      </c>
      <c r="AP166" s="128"/>
      <c r="AQ166" s="128"/>
      <c r="AR166" s="128"/>
      <c r="AS166" s="128"/>
      <c r="AT166" s="128"/>
    </row>
    <row r="167" spans="1:46" ht="141" x14ac:dyDescent="0.25">
      <c r="A167" s="114">
        <v>37</v>
      </c>
      <c r="B167" s="114" t="s">
        <v>573</v>
      </c>
      <c r="C167" s="98" t="s">
        <v>424</v>
      </c>
      <c r="D167" s="18" t="s">
        <v>425</v>
      </c>
      <c r="E167" s="114" t="s">
        <v>453</v>
      </c>
      <c r="F167" s="18" t="s">
        <v>53</v>
      </c>
      <c r="G167" s="18" t="s">
        <v>54</v>
      </c>
      <c r="H167" s="99" t="s">
        <v>427</v>
      </c>
      <c r="I167" s="18" t="s">
        <v>56</v>
      </c>
      <c r="J167" s="18" t="s">
        <v>57</v>
      </c>
      <c r="K167" s="76">
        <v>801116</v>
      </c>
      <c r="L167" s="76" t="s">
        <v>428</v>
      </c>
      <c r="M167" s="114" t="s">
        <v>59</v>
      </c>
      <c r="N167" s="114" t="s">
        <v>60</v>
      </c>
      <c r="O167" s="77" t="s">
        <v>429</v>
      </c>
      <c r="P167" s="114" t="s">
        <v>574</v>
      </c>
      <c r="Q167" s="115">
        <v>6180000</v>
      </c>
      <c r="R167" s="116">
        <v>1</v>
      </c>
      <c r="S167" s="115">
        <f t="shared" si="19"/>
        <v>71070000</v>
      </c>
      <c r="T167" s="255" t="s">
        <v>533</v>
      </c>
      <c r="U167" s="255" t="s">
        <v>432</v>
      </c>
      <c r="V167" s="119" t="s">
        <v>308</v>
      </c>
      <c r="W167" s="255">
        <v>11.5</v>
      </c>
      <c r="X167" s="256" t="s">
        <v>575</v>
      </c>
      <c r="Y167" s="120">
        <v>43104</v>
      </c>
      <c r="Z167" s="121">
        <f t="shared" si="20"/>
        <v>71070000</v>
      </c>
      <c r="AA167" s="256"/>
      <c r="AB167" s="256">
        <v>256</v>
      </c>
      <c r="AC167" s="122">
        <v>43105</v>
      </c>
      <c r="AD167" s="115">
        <v>71070000</v>
      </c>
      <c r="AE167" s="129">
        <f t="shared" si="26"/>
        <v>0</v>
      </c>
      <c r="AF167" s="124">
        <v>155</v>
      </c>
      <c r="AG167" s="122">
        <v>43118</v>
      </c>
      <c r="AH167" s="123">
        <f t="shared" si="27"/>
        <v>71070000</v>
      </c>
      <c r="AI167" s="125" t="s">
        <v>576</v>
      </c>
      <c r="AJ167" s="256">
        <v>159</v>
      </c>
      <c r="AK167" s="126"/>
      <c r="AL167" s="123">
        <f t="shared" si="30"/>
        <v>71070000</v>
      </c>
      <c r="AM167" s="123">
        <v>15038000</v>
      </c>
      <c r="AN167" s="123">
        <f t="shared" si="29"/>
        <v>56032000</v>
      </c>
      <c r="AO167" s="125" t="s">
        <v>435</v>
      </c>
      <c r="AP167" s="128"/>
      <c r="AQ167" s="128"/>
      <c r="AR167" s="128"/>
      <c r="AS167" s="128"/>
      <c r="AT167" s="128"/>
    </row>
    <row r="168" spans="1:46" ht="115.5" x14ac:dyDescent="0.25">
      <c r="A168" s="114">
        <v>38</v>
      </c>
      <c r="B168" s="114" t="s">
        <v>577</v>
      </c>
      <c r="C168" s="98" t="s">
        <v>424</v>
      </c>
      <c r="D168" s="18" t="s">
        <v>425</v>
      </c>
      <c r="E168" s="114" t="s">
        <v>453</v>
      </c>
      <c r="F168" s="18" t="s">
        <v>53</v>
      </c>
      <c r="G168" s="18" t="s">
        <v>54</v>
      </c>
      <c r="H168" s="99" t="s">
        <v>427</v>
      </c>
      <c r="I168" s="18" t="s">
        <v>56</v>
      </c>
      <c r="J168" s="18" t="s">
        <v>57</v>
      </c>
      <c r="K168" s="76">
        <v>801116</v>
      </c>
      <c r="L168" s="76" t="s">
        <v>428</v>
      </c>
      <c r="M168" s="114" t="s">
        <v>59</v>
      </c>
      <c r="N168" s="114" t="s">
        <v>60</v>
      </c>
      <c r="O168" s="77" t="s">
        <v>429</v>
      </c>
      <c r="P168" s="114" t="s">
        <v>578</v>
      </c>
      <c r="Q168" s="115">
        <v>2472000</v>
      </c>
      <c r="R168" s="116">
        <v>1</v>
      </c>
      <c r="S168" s="115">
        <f t="shared" si="19"/>
        <v>28428000</v>
      </c>
      <c r="T168" s="255" t="s">
        <v>533</v>
      </c>
      <c r="U168" s="255" t="s">
        <v>432</v>
      </c>
      <c r="V168" s="119" t="s">
        <v>308</v>
      </c>
      <c r="W168" s="255">
        <v>11.5</v>
      </c>
      <c r="X168" s="256" t="s">
        <v>579</v>
      </c>
      <c r="Y168" s="120">
        <v>43104</v>
      </c>
      <c r="Z168" s="121">
        <f t="shared" si="20"/>
        <v>28428000</v>
      </c>
      <c r="AA168" s="256"/>
      <c r="AB168" s="256">
        <v>257</v>
      </c>
      <c r="AC168" s="122">
        <v>43105</v>
      </c>
      <c r="AD168" s="115">
        <v>28428000</v>
      </c>
      <c r="AE168" s="129">
        <f t="shared" si="26"/>
        <v>0</v>
      </c>
      <c r="AF168" s="124">
        <v>217</v>
      </c>
      <c r="AG168" s="122">
        <v>43118</v>
      </c>
      <c r="AH168" s="123">
        <f t="shared" si="27"/>
        <v>28428000</v>
      </c>
      <c r="AI168" s="125" t="s">
        <v>580</v>
      </c>
      <c r="AJ168" s="256">
        <v>174</v>
      </c>
      <c r="AK168" s="126"/>
      <c r="AL168" s="123">
        <f t="shared" si="30"/>
        <v>28428000</v>
      </c>
      <c r="AM168" s="123">
        <v>5932800</v>
      </c>
      <c r="AN168" s="123">
        <f t="shared" si="29"/>
        <v>22495200</v>
      </c>
      <c r="AO168" s="125" t="s">
        <v>435</v>
      </c>
      <c r="AP168" s="128"/>
      <c r="AQ168" s="128"/>
      <c r="AR168" s="128"/>
      <c r="AS168" s="128"/>
      <c r="AT168" s="128"/>
    </row>
    <row r="169" spans="1:46" ht="90" x14ac:dyDescent="0.25">
      <c r="A169" s="114">
        <v>39</v>
      </c>
      <c r="B169" s="114" t="s">
        <v>581</v>
      </c>
      <c r="C169" s="98" t="s">
        <v>424</v>
      </c>
      <c r="D169" s="18" t="s">
        <v>425</v>
      </c>
      <c r="E169" s="114" t="s">
        <v>453</v>
      </c>
      <c r="F169" s="18" t="s">
        <v>53</v>
      </c>
      <c r="G169" s="18" t="s">
        <v>54</v>
      </c>
      <c r="H169" s="99" t="s">
        <v>427</v>
      </c>
      <c r="I169" s="18" t="s">
        <v>56</v>
      </c>
      <c r="J169" s="18" t="s">
        <v>57</v>
      </c>
      <c r="K169" s="76">
        <v>801116</v>
      </c>
      <c r="L169" s="76" t="s">
        <v>428</v>
      </c>
      <c r="M169" s="114" t="s">
        <v>59</v>
      </c>
      <c r="N169" s="114" t="s">
        <v>60</v>
      </c>
      <c r="O169" s="77" t="s">
        <v>429</v>
      </c>
      <c r="P169" s="114" t="s">
        <v>552</v>
      </c>
      <c r="Q169" s="115">
        <v>5665000</v>
      </c>
      <c r="R169" s="116">
        <v>1</v>
      </c>
      <c r="S169" s="115">
        <f t="shared" si="19"/>
        <v>65147500</v>
      </c>
      <c r="T169" s="255" t="s">
        <v>533</v>
      </c>
      <c r="U169" s="255" t="s">
        <v>432</v>
      </c>
      <c r="V169" s="119" t="s">
        <v>308</v>
      </c>
      <c r="W169" s="255">
        <v>11.5</v>
      </c>
      <c r="X169" s="256" t="s">
        <v>582</v>
      </c>
      <c r="Y169" s="120">
        <v>43104</v>
      </c>
      <c r="Z169" s="121">
        <f t="shared" si="20"/>
        <v>65147500</v>
      </c>
      <c r="AA169" s="256"/>
      <c r="AB169" s="256">
        <v>258</v>
      </c>
      <c r="AC169" s="122">
        <v>43105</v>
      </c>
      <c r="AD169" s="115">
        <v>65147500</v>
      </c>
      <c r="AE169" s="129">
        <f t="shared" si="26"/>
        <v>0</v>
      </c>
      <c r="AF169" s="124">
        <v>236</v>
      </c>
      <c r="AG169" s="122">
        <v>43119</v>
      </c>
      <c r="AH169" s="123">
        <f t="shared" si="27"/>
        <v>65147500</v>
      </c>
      <c r="AI169" s="125" t="s">
        <v>583</v>
      </c>
      <c r="AJ169" s="256">
        <v>208</v>
      </c>
      <c r="AK169" s="126"/>
      <c r="AL169" s="123">
        <f t="shared" si="30"/>
        <v>65147500</v>
      </c>
      <c r="AM169" s="123">
        <v>13596000</v>
      </c>
      <c r="AN169" s="123">
        <f t="shared" si="29"/>
        <v>51551500</v>
      </c>
      <c r="AO169" s="125" t="s">
        <v>435</v>
      </c>
      <c r="AP169" s="128"/>
      <c r="AQ169" s="128"/>
      <c r="AR169" s="128"/>
      <c r="AS169" s="128"/>
      <c r="AT169" s="128"/>
    </row>
    <row r="170" spans="1:46" ht="115.5" x14ac:dyDescent="0.25">
      <c r="A170" s="114">
        <v>40</v>
      </c>
      <c r="B170" s="114" t="s">
        <v>584</v>
      </c>
      <c r="C170" s="98" t="s">
        <v>424</v>
      </c>
      <c r="D170" s="18" t="s">
        <v>425</v>
      </c>
      <c r="E170" s="114" t="s">
        <v>453</v>
      </c>
      <c r="F170" s="18" t="s">
        <v>53</v>
      </c>
      <c r="G170" s="18" t="s">
        <v>54</v>
      </c>
      <c r="H170" s="99" t="s">
        <v>427</v>
      </c>
      <c r="I170" s="18" t="s">
        <v>56</v>
      </c>
      <c r="J170" s="18" t="s">
        <v>57</v>
      </c>
      <c r="K170" s="76">
        <v>801116</v>
      </c>
      <c r="L170" s="76" t="s">
        <v>428</v>
      </c>
      <c r="M170" s="114" t="s">
        <v>59</v>
      </c>
      <c r="N170" s="114" t="s">
        <v>60</v>
      </c>
      <c r="O170" s="77" t="s">
        <v>429</v>
      </c>
      <c r="P170" s="114" t="s">
        <v>578</v>
      </c>
      <c r="Q170" s="115">
        <v>2472000</v>
      </c>
      <c r="R170" s="116">
        <v>1</v>
      </c>
      <c r="S170" s="115">
        <f t="shared" si="19"/>
        <v>28428000</v>
      </c>
      <c r="T170" s="255" t="s">
        <v>533</v>
      </c>
      <c r="U170" s="255" t="s">
        <v>432</v>
      </c>
      <c r="V170" s="119" t="s">
        <v>308</v>
      </c>
      <c r="W170" s="255">
        <v>11.5</v>
      </c>
      <c r="X170" s="256" t="s">
        <v>585</v>
      </c>
      <c r="Y170" s="120">
        <v>43104</v>
      </c>
      <c r="Z170" s="121">
        <f t="shared" si="20"/>
        <v>28428000</v>
      </c>
      <c r="AA170" s="256"/>
      <c r="AB170" s="256">
        <v>283</v>
      </c>
      <c r="AC170" s="122">
        <v>43109</v>
      </c>
      <c r="AD170" s="115">
        <v>28428000</v>
      </c>
      <c r="AE170" s="129">
        <f t="shared" si="26"/>
        <v>0</v>
      </c>
      <c r="AF170" s="124">
        <v>204</v>
      </c>
      <c r="AG170" s="122">
        <v>43118</v>
      </c>
      <c r="AH170" s="123">
        <f t="shared" si="27"/>
        <v>28428000</v>
      </c>
      <c r="AI170" s="125" t="s">
        <v>586</v>
      </c>
      <c r="AJ170" s="256">
        <v>178</v>
      </c>
      <c r="AK170" s="126"/>
      <c r="AL170" s="123">
        <f t="shared" si="30"/>
        <v>28428000</v>
      </c>
      <c r="AM170" s="123">
        <v>5932800</v>
      </c>
      <c r="AN170" s="123">
        <f t="shared" si="29"/>
        <v>22495200</v>
      </c>
      <c r="AO170" s="125" t="s">
        <v>435</v>
      </c>
      <c r="AP170" s="128"/>
      <c r="AQ170" s="128"/>
      <c r="AR170" s="128"/>
      <c r="AS170" s="128"/>
      <c r="AT170" s="128"/>
    </row>
    <row r="171" spans="1:46" ht="90" x14ac:dyDescent="0.25">
      <c r="A171" s="114">
        <v>41</v>
      </c>
      <c r="B171" s="114" t="s">
        <v>587</v>
      </c>
      <c r="C171" s="98" t="s">
        <v>424</v>
      </c>
      <c r="D171" s="18" t="s">
        <v>425</v>
      </c>
      <c r="E171" s="114" t="s">
        <v>453</v>
      </c>
      <c r="F171" s="18" t="s">
        <v>53</v>
      </c>
      <c r="G171" s="18" t="s">
        <v>54</v>
      </c>
      <c r="H171" s="99" t="s">
        <v>427</v>
      </c>
      <c r="I171" s="18" t="s">
        <v>56</v>
      </c>
      <c r="J171" s="18" t="s">
        <v>57</v>
      </c>
      <c r="K171" s="76">
        <v>801116</v>
      </c>
      <c r="L171" s="76" t="s">
        <v>428</v>
      </c>
      <c r="M171" s="114" t="s">
        <v>59</v>
      </c>
      <c r="N171" s="114" t="s">
        <v>60</v>
      </c>
      <c r="O171" s="77" t="s">
        <v>429</v>
      </c>
      <c r="P171" s="114" t="s">
        <v>588</v>
      </c>
      <c r="Q171" s="115">
        <v>4120000</v>
      </c>
      <c r="R171" s="116">
        <v>1</v>
      </c>
      <c r="S171" s="115">
        <f t="shared" si="19"/>
        <v>47380000</v>
      </c>
      <c r="T171" s="255" t="s">
        <v>533</v>
      </c>
      <c r="U171" s="255" t="s">
        <v>432</v>
      </c>
      <c r="V171" s="119" t="s">
        <v>308</v>
      </c>
      <c r="W171" s="255">
        <v>11.5</v>
      </c>
      <c r="X171" s="256" t="s">
        <v>589</v>
      </c>
      <c r="Y171" s="120">
        <v>43104</v>
      </c>
      <c r="Z171" s="121">
        <f t="shared" si="20"/>
        <v>47380000</v>
      </c>
      <c r="AA171" s="256"/>
      <c r="AB171" s="256">
        <v>284</v>
      </c>
      <c r="AC171" s="122">
        <v>43109</v>
      </c>
      <c r="AD171" s="115">
        <v>47380000</v>
      </c>
      <c r="AE171" s="129">
        <f t="shared" si="26"/>
        <v>0</v>
      </c>
      <c r="AF171" s="124">
        <v>213</v>
      </c>
      <c r="AG171" s="122">
        <v>43118</v>
      </c>
      <c r="AH171" s="123">
        <f t="shared" si="27"/>
        <v>47380000</v>
      </c>
      <c r="AI171" s="125" t="s">
        <v>590</v>
      </c>
      <c r="AJ171" s="256">
        <v>177</v>
      </c>
      <c r="AK171" s="126"/>
      <c r="AL171" s="123">
        <f t="shared" si="30"/>
        <v>47380000</v>
      </c>
      <c r="AM171" s="123">
        <v>9888000</v>
      </c>
      <c r="AN171" s="123">
        <f t="shared" si="29"/>
        <v>37492000</v>
      </c>
      <c r="AO171" s="125" t="s">
        <v>435</v>
      </c>
      <c r="AP171" s="128"/>
      <c r="AQ171" s="128"/>
      <c r="AR171" s="128"/>
      <c r="AS171" s="128"/>
      <c r="AT171" s="128"/>
    </row>
    <row r="172" spans="1:46" ht="102.75" x14ac:dyDescent="0.25">
      <c r="A172" s="114">
        <v>42</v>
      </c>
      <c r="B172" s="114" t="s">
        <v>591</v>
      </c>
      <c r="C172" s="98" t="s">
        <v>424</v>
      </c>
      <c r="D172" s="18" t="s">
        <v>425</v>
      </c>
      <c r="E172" s="114" t="s">
        <v>453</v>
      </c>
      <c r="F172" s="18" t="s">
        <v>53</v>
      </c>
      <c r="G172" s="18" t="s">
        <v>54</v>
      </c>
      <c r="H172" s="99" t="s">
        <v>427</v>
      </c>
      <c r="I172" s="18" t="s">
        <v>56</v>
      </c>
      <c r="J172" s="18" t="s">
        <v>57</v>
      </c>
      <c r="K172" s="76">
        <v>801116</v>
      </c>
      <c r="L172" s="76" t="s">
        <v>428</v>
      </c>
      <c r="M172" s="114" t="s">
        <v>59</v>
      </c>
      <c r="N172" s="114" t="s">
        <v>60</v>
      </c>
      <c r="O172" s="77" t="s">
        <v>429</v>
      </c>
      <c r="P172" s="114" t="s">
        <v>592</v>
      </c>
      <c r="Q172" s="115">
        <v>3326900</v>
      </c>
      <c r="R172" s="116">
        <v>1</v>
      </c>
      <c r="S172" s="115">
        <f t="shared" si="19"/>
        <v>38259350</v>
      </c>
      <c r="T172" s="255" t="s">
        <v>533</v>
      </c>
      <c r="U172" s="255" t="s">
        <v>432</v>
      </c>
      <c r="V172" s="119" t="s">
        <v>308</v>
      </c>
      <c r="W172" s="255">
        <v>11.5</v>
      </c>
      <c r="X172" s="256" t="s">
        <v>593</v>
      </c>
      <c r="Y172" s="120">
        <v>43104</v>
      </c>
      <c r="Z172" s="121">
        <f t="shared" si="20"/>
        <v>38259350</v>
      </c>
      <c r="AA172" s="256"/>
      <c r="AB172" s="256">
        <v>285</v>
      </c>
      <c r="AC172" s="122">
        <v>43109</v>
      </c>
      <c r="AD172" s="115">
        <v>38259350</v>
      </c>
      <c r="AE172" s="129">
        <f t="shared" si="26"/>
        <v>0</v>
      </c>
      <c r="AF172" s="124">
        <v>275</v>
      </c>
      <c r="AG172" s="122">
        <v>43122</v>
      </c>
      <c r="AH172" s="123">
        <f t="shared" si="27"/>
        <v>38259350</v>
      </c>
      <c r="AI172" s="125" t="s">
        <v>594</v>
      </c>
      <c r="AJ172" s="256">
        <v>245</v>
      </c>
      <c r="AK172" s="126"/>
      <c r="AL172" s="123">
        <f t="shared" si="30"/>
        <v>38259350</v>
      </c>
      <c r="AM172" s="123">
        <v>7651870</v>
      </c>
      <c r="AN172" s="123">
        <f t="shared" si="29"/>
        <v>30607480</v>
      </c>
      <c r="AO172" s="125" t="s">
        <v>435</v>
      </c>
      <c r="AP172" s="128"/>
      <c r="AQ172" s="128"/>
      <c r="AR172" s="128"/>
      <c r="AS172" s="128"/>
      <c r="AT172" s="128"/>
    </row>
    <row r="173" spans="1:46" ht="128.25" x14ac:dyDescent="0.25">
      <c r="A173" s="114">
        <v>43</v>
      </c>
      <c r="B173" s="114" t="s">
        <v>595</v>
      </c>
      <c r="C173" s="98" t="s">
        <v>424</v>
      </c>
      <c r="D173" s="18" t="s">
        <v>425</v>
      </c>
      <c r="E173" s="114" t="s">
        <v>453</v>
      </c>
      <c r="F173" s="18" t="s">
        <v>53</v>
      </c>
      <c r="G173" s="18" t="s">
        <v>54</v>
      </c>
      <c r="H173" s="99" t="s">
        <v>427</v>
      </c>
      <c r="I173" s="18" t="s">
        <v>56</v>
      </c>
      <c r="J173" s="18" t="s">
        <v>57</v>
      </c>
      <c r="K173" s="76">
        <v>801116</v>
      </c>
      <c r="L173" s="76" t="s">
        <v>428</v>
      </c>
      <c r="M173" s="114" t="s">
        <v>59</v>
      </c>
      <c r="N173" s="114" t="s">
        <v>60</v>
      </c>
      <c r="O173" s="77" t="s">
        <v>429</v>
      </c>
      <c r="P173" s="114" t="s">
        <v>596</v>
      </c>
      <c r="Q173" s="115">
        <v>1545000</v>
      </c>
      <c r="R173" s="116">
        <v>1</v>
      </c>
      <c r="S173" s="115">
        <f t="shared" si="19"/>
        <v>17767500</v>
      </c>
      <c r="T173" s="255" t="s">
        <v>533</v>
      </c>
      <c r="U173" s="255" t="s">
        <v>432</v>
      </c>
      <c r="V173" s="119" t="s">
        <v>308</v>
      </c>
      <c r="W173" s="255">
        <v>11.5</v>
      </c>
      <c r="X173" s="256" t="s">
        <v>597</v>
      </c>
      <c r="Y173" s="120">
        <v>43104</v>
      </c>
      <c r="Z173" s="121">
        <f t="shared" si="20"/>
        <v>17767500</v>
      </c>
      <c r="AA173" s="256"/>
      <c r="AB173" s="256">
        <v>286</v>
      </c>
      <c r="AC173" s="122">
        <v>43109</v>
      </c>
      <c r="AD173" s="115">
        <v>17767500</v>
      </c>
      <c r="AE173" s="129">
        <f t="shared" si="26"/>
        <v>0</v>
      </c>
      <c r="AF173" s="124">
        <v>241</v>
      </c>
      <c r="AG173" s="122">
        <v>43119</v>
      </c>
      <c r="AH173" s="123">
        <f t="shared" si="27"/>
        <v>17767500</v>
      </c>
      <c r="AI173" s="125" t="s">
        <v>598</v>
      </c>
      <c r="AJ173" s="256">
        <v>220</v>
      </c>
      <c r="AK173" s="126"/>
      <c r="AL173" s="123">
        <f t="shared" si="30"/>
        <v>17767500</v>
      </c>
      <c r="AM173" s="123">
        <v>3708000</v>
      </c>
      <c r="AN173" s="123">
        <f t="shared" si="29"/>
        <v>14059500</v>
      </c>
      <c r="AO173" s="125" t="s">
        <v>435</v>
      </c>
      <c r="AP173" s="128"/>
      <c r="AQ173" s="128"/>
      <c r="AR173" s="128"/>
      <c r="AS173" s="128"/>
      <c r="AT173" s="128"/>
    </row>
    <row r="174" spans="1:46" ht="192" x14ac:dyDescent="0.25">
      <c r="A174" s="114">
        <v>44</v>
      </c>
      <c r="B174" s="114" t="s">
        <v>599</v>
      </c>
      <c r="C174" s="98" t="s">
        <v>424</v>
      </c>
      <c r="D174" s="18" t="s">
        <v>425</v>
      </c>
      <c r="E174" s="114" t="s">
        <v>453</v>
      </c>
      <c r="F174" s="18" t="s">
        <v>53</v>
      </c>
      <c r="G174" s="18" t="s">
        <v>54</v>
      </c>
      <c r="H174" s="99" t="s">
        <v>427</v>
      </c>
      <c r="I174" s="18" t="s">
        <v>56</v>
      </c>
      <c r="J174" s="18" t="s">
        <v>57</v>
      </c>
      <c r="K174" s="76">
        <v>801116</v>
      </c>
      <c r="L174" s="76" t="s">
        <v>428</v>
      </c>
      <c r="M174" s="114" t="s">
        <v>59</v>
      </c>
      <c r="N174" s="114" t="s">
        <v>60</v>
      </c>
      <c r="O174" s="77" t="s">
        <v>429</v>
      </c>
      <c r="P174" s="114" t="s">
        <v>517</v>
      </c>
      <c r="Q174" s="115">
        <v>3553500</v>
      </c>
      <c r="R174" s="116">
        <v>1</v>
      </c>
      <c r="S174" s="115">
        <f t="shared" si="19"/>
        <v>31981500</v>
      </c>
      <c r="T174" s="255" t="s">
        <v>533</v>
      </c>
      <c r="U174" s="255" t="s">
        <v>432</v>
      </c>
      <c r="V174" s="119" t="s">
        <v>308</v>
      </c>
      <c r="W174" s="255">
        <v>9</v>
      </c>
      <c r="X174" s="256" t="s">
        <v>600</v>
      </c>
      <c r="Y174" s="120">
        <v>43104</v>
      </c>
      <c r="Z174" s="121">
        <f t="shared" si="20"/>
        <v>31981500</v>
      </c>
      <c r="AA174" s="256"/>
      <c r="AB174" s="256">
        <v>287</v>
      </c>
      <c r="AC174" s="122">
        <v>43109</v>
      </c>
      <c r="AD174" s="115">
        <v>31981500</v>
      </c>
      <c r="AE174" s="129">
        <f t="shared" si="26"/>
        <v>0</v>
      </c>
      <c r="AF174" s="124">
        <v>497</v>
      </c>
      <c r="AG174" s="122">
        <v>43126</v>
      </c>
      <c r="AH174" s="123">
        <f t="shared" si="27"/>
        <v>31981500</v>
      </c>
      <c r="AI174" s="125" t="s">
        <v>601</v>
      </c>
      <c r="AJ174" s="256">
        <v>426</v>
      </c>
      <c r="AK174" s="126"/>
      <c r="AL174" s="123">
        <f t="shared" si="30"/>
        <v>31981500</v>
      </c>
      <c r="AM174" s="123">
        <v>7343900</v>
      </c>
      <c r="AN174" s="123">
        <f t="shared" si="29"/>
        <v>24637600</v>
      </c>
      <c r="AO174" s="125" t="s">
        <v>435</v>
      </c>
      <c r="AP174" s="128"/>
      <c r="AQ174" s="128"/>
      <c r="AR174" s="128"/>
      <c r="AS174" s="128"/>
      <c r="AT174" s="128"/>
    </row>
    <row r="175" spans="1:46" ht="77.25" x14ac:dyDescent="0.25">
      <c r="A175" s="114">
        <v>45</v>
      </c>
      <c r="B175" s="114" t="s">
        <v>602</v>
      </c>
      <c r="C175" s="98" t="s">
        <v>424</v>
      </c>
      <c r="D175" s="18" t="s">
        <v>425</v>
      </c>
      <c r="E175" s="114" t="s">
        <v>426</v>
      </c>
      <c r="F175" s="18" t="s">
        <v>53</v>
      </c>
      <c r="G175" s="18" t="s">
        <v>54</v>
      </c>
      <c r="H175" s="99" t="s">
        <v>427</v>
      </c>
      <c r="I175" s="18" t="s">
        <v>56</v>
      </c>
      <c r="J175" s="18" t="s">
        <v>57</v>
      </c>
      <c r="K175" s="76">
        <v>801116</v>
      </c>
      <c r="L175" s="76" t="s">
        <v>428</v>
      </c>
      <c r="M175" s="114" t="s">
        <v>59</v>
      </c>
      <c r="N175" s="114" t="s">
        <v>60</v>
      </c>
      <c r="O175" s="77" t="s">
        <v>429</v>
      </c>
      <c r="P175" s="114" t="s">
        <v>603</v>
      </c>
      <c r="Q175" s="115">
        <v>5665000</v>
      </c>
      <c r="R175" s="116">
        <v>1</v>
      </c>
      <c r="S175" s="117">
        <f t="shared" si="19"/>
        <v>65147500</v>
      </c>
      <c r="T175" s="255" t="s">
        <v>533</v>
      </c>
      <c r="U175" s="255" t="s">
        <v>432</v>
      </c>
      <c r="V175" s="119" t="s">
        <v>308</v>
      </c>
      <c r="W175" s="255">
        <v>11.5</v>
      </c>
      <c r="X175" s="256" t="s">
        <v>604</v>
      </c>
      <c r="Y175" s="120">
        <v>43104</v>
      </c>
      <c r="Z175" s="121">
        <f t="shared" si="20"/>
        <v>65147500</v>
      </c>
      <c r="AA175" s="256"/>
      <c r="AB175" s="256">
        <v>288</v>
      </c>
      <c r="AC175" s="122">
        <v>43109</v>
      </c>
      <c r="AD175" s="115">
        <v>65147500</v>
      </c>
      <c r="AE175" s="129">
        <f t="shared" si="26"/>
        <v>0</v>
      </c>
      <c r="AF175" s="124">
        <v>235</v>
      </c>
      <c r="AG175" s="122">
        <v>43119</v>
      </c>
      <c r="AH175" s="123">
        <f t="shared" si="27"/>
        <v>65147500</v>
      </c>
      <c r="AI175" s="125" t="s">
        <v>605</v>
      </c>
      <c r="AJ175" s="256">
        <v>209</v>
      </c>
      <c r="AK175" s="126"/>
      <c r="AL175" s="123">
        <f t="shared" si="30"/>
        <v>65147500</v>
      </c>
      <c r="AM175" s="123">
        <v>13596000</v>
      </c>
      <c r="AN175" s="123">
        <f t="shared" si="29"/>
        <v>51551500</v>
      </c>
      <c r="AO175" s="125" t="s">
        <v>435</v>
      </c>
      <c r="AP175" s="128"/>
      <c r="AQ175" s="128"/>
      <c r="AR175" s="128"/>
      <c r="AS175" s="128"/>
      <c r="AT175" s="128"/>
    </row>
    <row r="176" spans="1:46" ht="141" x14ac:dyDescent="0.25">
      <c r="A176" s="114">
        <v>46</v>
      </c>
      <c r="B176" s="114" t="s">
        <v>606</v>
      </c>
      <c r="C176" s="98" t="s">
        <v>424</v>
      </c>
      <c r="D176" s="18" t="s">
        <v>425</v>
      </c>
      <c r="E176" s="114" t="s">
        <v>453</v>
      </c>
      <c r="F176" s="18" t="s">
        <v>53</v>
      </c>
      <c r="G176" s="18" t="s">
        <v>54</v>
      </c>
      <c r="H176" s="99" t="s">
        <v>427</v>
      </c>
      <c r="I176" s="18" t="s">
        <v>56</v>
      </c>
      <c r="J176" s="18" t="s">
        <v>57</v>
      </c>
      <c r="K176" s="76">
        <v>801116</v>
      </c>
      <c r="L176" s="76" t="s">
        <v>428</v>
      </c>
      <c r="M176" s="114" t="s">
        <v>59</v>
      </c>
      <c r="N176" s="114" t="s">
        <v>60</v>
      </c>
      <c r="O176" s="77" t="s">
        <v>429</v>
      </c>
      <c r="P176" s="114" t="s">
        <v>607</v>
      </c>
      <c r="Q176" s="115">
        <v>1751000</v>
      </c>
      <c r="R176" s="116">
        <v>1</v>
      </c>
      <c r="S176" s="115">
        <f t="shared" si="19"/>
        <v>20136500</v>
      </c>
      <c r="T176" s="255" t="s">
        <v>533</v>
      </c>
      <c r="U176" s="255" t="s">
        <v>432</v>
      </c>
      <c r="V176" s="119" t="s">
        <v>308</v>
      </c>
      <c r="W176" s="255">
        <v>11.5</v>
      </c>
      <c r="X176" s="256" t="s">
        <v>608</v>
      </c>
      <c r="Y176" s="120">
        <v>43104</v>
      </c>
      <c r="Z176" s="121">
        <f t="shared" si="20"/>
        <v>20136500</v>
      </c>
      <c r="AA176" s="256"/>
      <c r="AB176" s="256">
        <v>289</v>
      </c>
      <c r="AC176" s="122">
        <v>43109</v>
      </c>
      <c r="AD176" s="115">
        <v>20136500</v>
      </c>
      <c r="AE176" s="129">
        <f t="shared" si="26"/>
        <v>0</v>
      </c>
      <c r="AF176" s="124">
        <v>326</v>
      </c>
      <c r="AG176" s="122">
        <v>43123</v>
      </c>
      <c r="AH176" s="123">
        <f t="shared" si="27"/>
        <v>20136500</v>
      </c>
      <c r="AI176" s="125" t="s">
        <v>609</v>
      </c>
      <c r="AJ176" s="256">
        <v>287</v>
      </c>
      <c r="AK176" s="126"/>
      <c r="AL176" s="123">
        <f t="shared" si="30"/>
        <v>20136500</v>
      </c>
      <c r="AM176" s="123">
        <v>3968934</v>
      </c>
      <c r="AN176" s="123">
        <f t="shared" si="29"/>
        <v>16167566</v>
      </c>
      <c r="AO176" s="125" t="s">
        <v>435</v>
      </c>
      <c r="AP176" s="128"/>
      <c r="AQ176" s="128"/>
      <c r="AR176" s="128"/>
      <c r="AS176" s="128"/>
      <c r="AT176" s="128"/>
    </row>
    <row r="177" spans="1:46" ht="141" x14ac:dyDescent="0.25">
      <c r="A177" s="114">
        <v>47</v>
      </c>
      <c r="B177" s="114" t="s">
        <v>610</v>
      </c>
      <c r="C177" s="98" t="s">
        <v>424</v>
      </c>
      <c r="D177" s="18" t="s">
        <v>425</v>
      </c>
      <c r="E177" s="114" t="s">
        <v>453</v>
      </c>
      <c r="F177" s="18" t="s">
        <v>53</v>
      </c>
      <c r="G177" s="18" t="s">
        <v>54</v>
      </c>
      <c r="H177" s="99" t="s">
        <v>427</v>
      </c>
      <c r="I177" s="18" t="s">
        <v>56</v>
      </c>
      <c r="J177" s="18" t="s">
        <v>57</v>
      </c>
      <c r="K177" s="76">
        <v>801116</v>
      </c>
      <c r="L177" s="76" t="s">
        <v>428</v>
      </c>
      <c r="M177" s="114" t="s">
        <v>59</v>
      </c>
      <c r="N177" s="114" t="s">
        <v>60</v>
      </c>
      <c r="O177" s="77" t="s">
        <v>429</v>
      </c>
      <c r="P177" s="114" t="s">
        <v>611</v>
      </c>
      <c r="Q177" s="115">
        <v>3326900</v>
      </c>
      <c r="R177" s="116">
        <v>1</v>
      </c>
      <c r="S177" s="115">
        <f t="shared" si="19"/>
        <v>38259350</v>
      </c>
      <c r="T177" s="255" t="s">
        <v>533</v>
      </c>
      <c r="U177" s="255" t="s">
        <v>432</v>
      </c>
      <c r="V177" s="119" t="s">
        <v>308</v>
      </c>
      <c r="W177" s="255">
        <v>11.5</v>
      </c>
      <c r="X177" s="256" t="s">
        <v>612</v>
      </c>
      <c r="Y177" s="120">
        <v>43104</v>
      </c>
      <c r="Z177" s="121">
        <f t="shared" si="20"/>
        <v>38259350</v>
      </c>
      <c r="AA177" s="256"/>
      <c r="AB177" s="256">
        <v>290</v>
      </c>
      <c r="AC177" s="122">
        <v>43109</v>
      </c>
      <c r="AD177" s="115">
        <v>38259350</v>
      </c>
      <c r="AE177" s="129">
        <f t="shared" si="26"/>
        <v>0</v>
      </c>
      <c r="AF177" s="124">
        <v>317</v>
      </c>
      <c r="AG177" s="122">
        <v>43122</v>
      </c>
      <c r="AH177" s="123">
        <f t="shared" si="27"/>
        <v>38259350</v>
      </c>
      <c r="AI177" s="125" t="s">
        <v>613</v>
      </c>
      <c r="AJ177" s="256">
        <v>276</v>
      </c>
      <c r="AK177" s="126"/>
      <c r="AL177" s="123">
        <f t="shared" si="30"/>
        <v>38259350</v>
      </c>
      <c r="AM177" s="123">
        <v>7540973</v>
      </c>
      <c r="AN177" s="123">
        <f t="shared" si="29"/>
        <v>30718377</v>
      </c>
      <c r="AO177" s="125" t="s">
        <v>435</v>
      </c>
      <c r="AP177" s="128"/>
      <c r="AQ177" s="128"/>
      <c r="AR177" s="128"/>
      <c r="AS177" s="128"/>
      <c r="AT177" s="128"/>
    </row>
    <row r="178" spans="1:46" ht="128.25" x14ac:dyDescent="0.25">
      <c r="A178" s="114">
        <v>48</v>
      </c>
      <c r="B178" s="114" t="s">
        <v>614</v>
      </c>
      <c r="C178" s="98" t="s">
        <v>424</v>
      </c>
      <c r="D178" s="18" t="s">
        <v>425</v>
      </c>
      <c r="E178" s="114" t="s">
        <v>453</v>
      </c>
      <c r="F178" s="18" t="s">
        <v>53</v>
      </c>
      <c r="G178" s="18" t="s">
        <v>54</v>
      </c>
      <c r="H178" s="99" t="s">
        <v>427</v>
      </c>
      <c r="I178" s="18" t="s">
        <v>56</v>
      </c>
      <c r="J178" s="18" t="s">
        <v>57</v>
      </c>
      <c r="K178" s="76">
        <v>801116</v>
      </c>
      <c r="L178" s="76" t="s">
        <v>428</v>
      </c>
      <c r="M178" s="114" t="s">
        <v>59</v>
      </c>
      <c r="N178" s="114" t="s">
        <v>60</v>
      </c>
      <c r="O178" s="77" t="s">
        <v>429</v>
      </c>
      <c r="P178" s="114" t="s">
        <v>615</v>
      </c>
      <c r="Q178" s="115">
        <v>5036700</v>
      </c>
      <c r="R178" s="116">
        <v>1</v>
      </c>
      <c r="S178" s="115">
        <f t="shared" si="19"/>
        <v>57922050</v>
      </c>
      <c r="T178" s="255" t="s">
        <v>533</v>
      </c>
      <c r="U178" s="255" t="s">
        <v>432</v>
      </c>
      <c r="V178" s="119" t="s">
        <v>308</v>
      </c>
      <c r="W178" s="255">
        <v>11.5</v>
      </c>
      <c r="X178" s="256" t="s">
        <v>616</v>
      </c>
      <c r="Y178" s="120">
        <v>43104</v>
      </c>
      <c r="Z178" s="121">
        <f t="shared" si="20"/>
        <v>57922050</v>
      </c>
      <c r="AA178" s="256"/>
      <c r="AB178" s="256">
        <v>291</v>
      </c>
      <c r="AC178" s="122">
        <v>43109</v>
      </c>
      <c r="AD178" s="115">
        <v>57922050</v>
      </c>
      <c r="AE178" s="129">
        <f t="shared" si="26"/>
        <v>0</v>
      </c>
      <c r="AF178" s="124">
        <v>429</v>
      </c>
      <c r="AG178" s="122">
        <v>43124</v>
      </c>
      <c r="AH178" s="123">
        <f t="shared" si="27"/>
        <v>57922050</v>
      </c>
      <c r="AI178" s="125" t="s">
        <v>617</v>
      </c>
      <c r="AJ178" s="256">
        <v>364</v>
      </c>
      <c r="AK178" s="126"/>
      <c r="AL178" s="123">
        <f t="shared" si="30"/>
        <v>57922050</v>
      </c>
      <c r="AM178" s="123">
        <v>11080740</v>
      </c>
      <c r="AN178" s="123">
        <f t="shared" si="29"/>
        <v>46841310</v>
      </c>
      <c r="AO178" s="125" t="s">
        <v>435</v>
      </c>
      <c r="AP178" s="128"/>
      <c r="AQ178" s="128"/>
      <c r="AR178" s="128"/>
      <c r="AS178" s="128"/>
      <c r="AT178" s="128"/>
    </row>
    <row r="179" spans="1:46" ht="77.25" x14ac:dyDescent="0.25">
      <c r="A179" s="114">
        <v>49</v>
      </c>
      <c r="B179" s="114" t="s">
        <v>618</v>
      </c>
      <c r="C179" s="98" t="s">
        <v>424</v>
      </c>
      <c r="D179" s="18" t="s">
        <v>425</v>
      </c>
      <c r="E179" s="114" t="s">
        <v>453</v>
      </c>
      <c r="F179" s="18" t="s">
        <v>53</v>
      </c>
      <c r="G179" s="18" t="s">
        <v>54</v>
      </c>
      <c r="H179" s="99" t="s">
        <v>427</v>
      </c>
      <c r="I179" s="18" t="s">
        <v>56</v>
      </c>
      <c r="J179" s="18" t="s">
        <v>57</v>
      </c>
      <c r="K179" s="76">
        <v>801116</v>
      </c>
      <c r="L179" s="76" t="s">
        <v>428</v>
      </c>
      <c r="M179" s="114" t="s">
        <v>59</v>
      </c>
      <c r="N179" s="114" t="s">
        <v>60</v>
      </c>
      <c r="O179" s="77" t="s">
        <v>429</v>
      </c>
      <c r="P179" s="114" t="s">
        <v>619</v>
      </c>
      <c r="Q179" s="115">
        <v>1751000</v>
      </c>
      <c r="R179" s="116">
        <v>1</v>
      </c>
      <c r="S179" s="115">
        <f t="shared" si="19"/>
        <v>20136500</v>
      </c>
      <c r="T179" s="255" t="s">
        <v>533</v>
      </c>
      <c r="U179" s="255" t="s">
        <v>432</v>
      </c>
      <c r="V179" s="119" t="s">
        <v>308</v>
      </c>
      <c r="W179" s="255">
        <v>11.5</v>
      </c>
      <c r="X179" s="256" t="s">
        <v>620</v>
      </c>
      <c r="Y179" s="120">
        <v>43104</v>
      </c>
      <c r="Z179" s="121">
        <f t="shared" si="20"/>
        <v>20136500</v>
      </c>
      <c r="AA179" s="256"/>
      <c r="AB179" s="256">
        <v>292</v>
      </c>
      <c r="AC179" s="122">
        <v>43109</v>
      </c>
      <c r="AD179" s="115">
        <v>20136500</v>
      </c>
      <c r="AE179" s="129">
        <f t="shared" si="26"/>
        <v>0</v>
      </c>
      <c r="AF179" s="124">
        <v>384</v>
      </c>
      <c r="AG179" s="122">
        <v>43124</v>
      </c>
      <c r="AH179" s="123">
        <f t="shared" si="27"/>
        <v>20136500</v>
      </c>
      <c r="AI179" s="125" t="s">
        <v>621</v>
      </c>
      <c r="AJ179" s="256">
        <v>307</v>
      </c>
      <c r="AK179" s="126"/>
      <c r="AL179" s="123">
        <f t="shared" si="30"/>
        <v>20136500</v>
      </c>
      <c r="AM179" s="123">
        <v>3852200</v>
      </c>
      <c r="AN179" s="123">
        <f t="shared" si="29"/>
        <v>16284300</v>
      </c>
      <c r="AO179" s="125" t="s">
        <v>435</v>
      </c>
      <c r="AP179" s="128"/>
      <c r="AQ179" s="128"/>
      <c r="AR179" s="128"/>
      <c r="AS179" s="128"/>
      <c r="AT179" s="128"/>
    </row>
    <row r="180" spans="1:46" ht="77.25" x14ac:dyDescent="0.25">
      <c r="A180" s="114">
        <v>50</v>
      </c>
      <c r="B180" s="114" t="s">
        <v>622</v>
      </c>
      <c r="C180" s="98" t="s">
        <v>424</v>
      </c>
      <c r="D180" s="18" t="s">
        <v>425</v>
      </c>
      <c r="E180" s="114" t="s">
        <v>453</v>
      </c>
      <c r="F180" s="18" t="s">
        <v>53</v>
      </c>
      <c r="G180" s="18" t="s">
        <v>54</v>
      </c>
      <c r="H180" s="99" t="s">
        <v>427</v>
      </c>
      <c r="I180" s="18" t="s">
        <v>56</v>
      </c>
      <c r="J180" s="18" t="s">
        <v>57</v>
      </c>
      <c r="K180" s="76">
        <v>801116</v>
      </c>
      <c r="L180" s="76" t="s">
        <v>428</v>
      </c>
      <c r="M180" s="114" t="s">
        <v>59</v>
      </c>
      <c r="N180" s="114" t="s">
        <v>60</v>
      </c>
      <c r="O180" s="77" t="s">
        <v>429</v>
      </c>
      <c r="P180" s="114" t="s">
        <v>623</v>
      </c>
      <c r="Q180" s="115">
        <v>4532000</v>
      </c>
      <c r="R180" s="116">
        <v>1</v>
      </c>
      <c r="S180" s="115">
        <f t="shared" si="19"/>
        <v>52118000</v>
      </c>
      <c r="T180" s="255" t="s">
        <v>533</v>
      </c>
      <c r="U180" s="255" t="s">
        <v>432</v>
      </c>
      <c r="V180" s="119" t="s">
        <v>308</v>
      </c>
      <c r="W180" s="255">
        <v>11.5</v>
      </c>
      <c r="X180" s="256" t="s">
        <v>624</v>
      </c>
      <c r="Y180" s="120">
        <v>43104</v>
      </c>
      <c r="Z180" s="121">
        <f t="shared" si="20"/>
        <v>52118000</v>
      </c>
      <c r="AA180" s="256"/>
      <c r="AB180" s="256">
        <v>293</v>
      </c>
      <c r="AC180" s="122">
        <v>43109</v>
      </c>
      <c r="AD180" s="115">
        <v>52118000</v>
      </c>
      <c r="AE180" s="129">
        <f t="shared" si="26"/>
        <v>0</v>
      </c>
      <c r="AF180" s="124">
        <v>188</v>
      </c>
      <c r="AG180" s="122">
        <v>43118</v>
      </c>
      <c r="AH180" s="123">
        <f t="shared" si="27"/>
        <v>52118000</v>
      </c>
      <c r="AI180" s="125" t="s">
        <v>625</v>
      </c>
      <c r="AJ180" s="256">
        <v>141</v>
      </c>
      <c r="AK180" s="126"/>
      <c r="AL180" s="123">
        <f t="shared" si="30"/>
        <v>52118000</v>
      </c>
      <c r="AM180" s="123">
        <v>11027867</v>
      </c>
      <c r="AN180" s="123">
        <f t="shared" si="29"/>
        <v>41090133</v>
      </c>
      <c r="AO180" s="125" t="s">
        <v>435</v>
      </c>
      <c r="AP180" s="128"/>
      <c r="AQ180" s="128"/>
      <c r="AR180" s="128"/>
      <c r="AS180" s="128"/>
      <c r="AT180" s="128"/>
    </row>
    <row r="181" spans="1:46" ht="77.25" x14ac:dyDescent="0.25">
      <c r="A181" s="114">
        <v>51</v>
      </c>
      <c r="B181" s="114" t="s">
        <v>626</v>
      </c>
      <c r="C181" s="98" t="s">
        <v>424</v>
      </c>
      <c r="D181" s="18" t="s">
        <v>425</v>
      </c>
      <c r="E181" s="114" t="s">
        <v>453</v>
      </c>
      <c r="F181" s="18" t="s">
        <v>53</v>
      </c>
      <c r="G181" s="18" t="s">
        <v>54</v>
      </c>
      <c r="H181" s="99" t="s">
        <v>427</v>
      </c>
      <c r="I181" s="18" t="s">
        <v>56</v>
      </c>
      <c r="J181" s="18" t="s">
        <v>57</v>
      </c>
      <c r="K181" s="76">
        <v>801116</v>
      </c>
      <c r="L181" s="76" t="s">
        <v>428</v>
      </c>
      <c r="M181" s="114" t="s">
        <v>59</v>
      </c>
      <c r="N181" s="114" t="s">
        <v>60</v>
      </c>
      <c r="O181" s="77" t="s">
        <v>429</v>
      </c>
      <c r="P181" s="114" t="s">
        <v>454</v>
      </c>
      <c r="Q181" s="115">
        <v>3399000</v>
      </c>
      <c r="R181" s="116">
        <v>1</v>
      </c>
      <c r="S181" s="115">
        <f t="shared" si="19"/>
        <v>39088500</v>
      </c>
      <c r="T181" s="255" t="s">
        <v>533</v>
      </c>
      <c r="U181" s="255" t="s">
        <v>432</v>
      </c>
      <c r="V181" s="119" t="s">
        <v>308</v>
      </c>
      <c r="W181" s="255">
        <v>11.5</v>
      </c>
      <c r="X181" s="256" t="s">
        <v>627</v>
      </c>
      <c r="Y181" s="120">
        <v>43104</v>
      </c>
      <c r="Z181" s="121">
        <f t="shared" si="20"/>
        <v>39088500</v>
      </c>
      <c r="AA181" s="256"/>
      <c r="AB181" s="256">
        <v>294</v>
      </c>
      <c r="AC181" s="122">
        <v>43109</v>
      </c>
      <c r="AD181" s="115">
        <v>39088500</v>
      </c>
      <c r="AE181" s="129">
        <f t="shared" si="26"/>
        <v>0</v>
      </c>
      <c r="AF181" s="124">
        <v>232</v>
      </c>
      <c r="AG181" s="122">
        <v>43119</v>
      </c>
      <c r="AH181" s="123">
        <f t="shared" si="27"/>
        <v>39088500</v>
      </c>
      <c r="AI181" s="125" t="s">
        <v>628</v>
      </c>
      <c r="AJ181" s="256">
        <v>212</v>
      </c>
      <c r="AK181" s="126"/>
      <c r="AL181" s="123">
        <f t="shared" si="30"/>
        <v>39088500</v>
      </c>
      <c r="AM181" s="123">
        <v>8157600</v>
      </c>
      <c r="AN181" s="123">
        <f t="shared" si="29"/>
        <v>30930900</v>
      </c>
      <c r="AO181" s="125" t="s">
        <v>435</v>
      </c>
      <c r="AP181" s="128"/>
      <c r="AQ181" s="128"/>
      <c r="AR181" s="128"/>
      <c r="AS181" s="128"/>
      <c r="AT181" s="128"/>
    </row>
    <row r="182" spans="1:46" ht="77.25" x14ac:dyDescent="0.25">
      <c r="A182" s="114">
        <v>52</v>
      </c>
      <c r="B182" s="114" t="s">
        <v>629</v>
      </c>
      <c r="C182" s="98" t="s">
        <v>424</v>
      </c>
      <c r="D182" s="18" t="s">
        <v>425</v>
      </c>
      <c r="E182" s="114" t="s">
        <v>453</v>
      </c>
      <c r="F182" s="18" t="s">
        <v>53</v>
      </c>
      <c r="G182" s="18" t="s">
        <v>54</v>
      </c>
      <c r="H182" s="99" t="s">
        <v>427</v>
      </c>
      <c r="I182" s="18" t="s">
        <v>56</v>
      </c>
      <c r="J182" s="18" t="s">
        <v>57</v>
      </c>
      <c r="K182" s="76">
        <v>801116</v>
      </c>
      <c r="L182" s="76" t="s">
        <v>428</v>
      </c>
      <c r="M182" s="114" t="s">
        <v>59</v>
      </c>
      <c r="N182" s="114" t="s">
        <v>60</v>
      </c>
      <c r="O182" s="77" t="s">
        <v>429</v>
      </c>
      <c r="P182" s="114" t="s">
        <v>454</v>
      </c>
      <c r="Q182" s="115">
        <v>3553500</v>
      </c>
      <c r="R182" s="116">
        <v>1</v>
      </c>
      <c r="S182" s="115">
        <f t="shared" si="19"/>
        <v>40865250</v>
      </c>
      <c r="T182" s="255" t="s">
        <v>533</v>
      </c>
      <c r="U182" s="255" t="s">
        <v>432</v>
      </c>
      <c r="V182" s="119" t="s">
        <v>308</v>
      </c>
      <c r="W182" s="255">
        <v>11.5</v>
      </c>
      <c r="X182" s="256" t="s">
        <v>630</v>
      </c>
      <c r="Y182" s="120">
        <v>43104</v>
      </c>
      <c r="Z182" s="121">
        <f t="shared" si="20"/>
        <v>40865250</v>
      </c>
      <c r="AA182" s="256"/>
      <c r="AB182" s="256">
        <v>295</v>
      </c>
      <c r="AC182" s="122">
        <v>43109</v>
      </c>
      <c r="AD182" s="115">
        <v>40865250</v>
      </c>
      <c r="AE182" s="129">
        <f t="shared" si="26"/>
        <v>0</v>
      </c>
      <c r="AF182" s="124">
        <v>392</v>
      </c>
      <c r="AG182" s="122">
        <v>43124</v>
      </c>
      <c r="AH182" s="123">
        <f t="shared" si="27"/>
        <v>40865250</v>
      </c>
      <c r="AI182" s="125" t="s">
        <v>631</v>
      </c>
      <c r="AJ182" s="256">
        <v>330</v>
      </c>
      <c r="AK182" s="126"/>
      <c r="AL182" s="123">
        <f t="shared" si="30"/>
        <v>40865250</v>
      </c>
      <c r="AM182" s="123">
        <v>7817700</v>
      </c>
      <c r="AN182" s="123">
        <f t="shared" si="29"/>
        <v>33047550</v>
      </c>
      <c r="AO182" s="125" t="s">
        <v>435</v>
      </c>
      <c r="AP182" s="128"/>
      <c r="AQ182" s="128"/>
      <c r="AR182" s="128"/>
      <c r="AS182" s="128"/>
      <c r="AT182" s="128"/>
    </row>
    <row r="183" spans="1:46" ht="77.25" x14ac:dyDescent="0.25">
      <c r="A183" s="114">
        <v>53</v>
      </c>
      <c r="B183" s="114" t="s">
        <v>632</v>
      </c>
      <c r="C183" s="98" t="s">
        <v>424</v>
      </c>
      <c r="D183" s="18" t="s">
        <v>425</v>
      </c>
      <c r="E183" s="114" t="s">
        <v>453</v>
      </c>
      <c r="F183" s="18" t="s">
        <v>53</v>
      </c>
      <c r="G183" s="18" t="s">
        <v>54</v>
      </c>
      <c r="H183" s="99" t="s">
        <v>427</v>
      </c>
      <c r="I183" s="18" t="s">
        <v>56</v>
      </c>
      <c r="J183" s="18" t="s">
        <v>57</v>
      </c>
      <c r="K183" s="76">
        <v>801116</v>
      </c>
      <c r="L183" s="76" t="s">
        <v>428</v>
      </c>
      <c r="M183" s="114" t="s">
        <v>59</v>
      </c>
      <c r="N183" s="114" t="s">
        <v>60</v>
      </c>
      <c r="O183" s="77" t="s">
        <v>429</v>
      </c>
      <c r="P183" s="114" t="s">
        <v>454</v>
      </c>
      <c r="Q183" s="115">
        <v>3553500</v>
      </c>
      <c r="R183" s="116">
        <v>1</v>
      </c>
      <c r="S183" s="115">
        <f t="shared" si="19"/>
        <v>40865250</v>
      </c>
      <c r="T183" s="255" t="s">
        <v>533</v>
      </c>
      <c r="U183" s="255" t="s">
        <v>432</v>
      </c>
      <c r="V183" s="119" t="s">
        <v>308</v>
      </c>
      <c r="W183" s="255">
        <v>11.5</v>
      </c>
      <c r="X183" s="256" t="s">
        <v>633</v>
      </c>
      <c r="Y183" s="120">
        <v>43104</v>
      </c>
      <c r="Z183" s="121">
        <f t="shared" si="20"/>
        <v>40865250</v>
      </c>
      <c r="AA183" s="256"/>
      <c r="AB183" s="256">
        <v>296</v>
      </c>
      <c r="AC183" s="122">
        <v>43109</v>
      </c>
      <c r="AD183" s="115">
        <v>40865250</v>
      </c>
      <c r="AE183" s="129">
        <f t="shared" si="26"/>
        <v>0</v>
      </c>
      <c r="AF183" s="124">
        <v>395</v>
      </c>
      <c r="AG183" s="122">
        <v>43124</v>
      </c>
      <c r="AH183" s="123">
        <f t="shared" si="27"/>
        <v>40865250</v>
      </c>
      <c r="AI183" s="125" t="s">
        <v>634</v>
      </c>
      <c r="AJ183" s="256">
        <v>331</v>
      </c>
      <c r="AK183" s="126"/>
      <c r="AL183" s="123">
        <f t="shared" si="30"/>
        <v>40865250</v>
      </c>
      <c r="AM183" s="123">
        <v>7817700</v>
      </c>
      <c r="AN183" s="123">
        <f t="shared" si="29"/>
        <v>33047550</v>
      </c>
      <c r="AO183" s="125" t="s">
        <v>435</v>
      </c>
      <c r="AP183" s="128"/>
      <c r="AQ183" s="128"/>
      <c r="AR183" s="128"/>
      <c r="AS183" s="128"/>
      <c r="AT183" s="128"/>
    </row>
    <row r="184" spans="1:46" ht="77.25" x14ac:dyDescent="0.25">
      <c r="A184" s="114">
        <v>54</v>
      </c>
      <c r="B184" s="114" t="s">
        <v>635</v>
      </c>
      <c r="C184" s="98" t="s">
        <v>424</v>
      </c>
      <c r="D184" s="18" t="s">
        <v>425</v>
      </c>
      <c r="E184" s="114" t="s">
        <v>426</v>
      </c>
      <c r="F184" s="18" t="s">
        <v>53</v>
      </c>
      <c r="G184" s="18" t="s">
        <v>54</v>
      </c>
      <c r="H184" s="99" t="s">
        <v>427</v>
      </c>
      <c r="I184" s="18" t="s">
        <v>56</v>
      </c>
      <c r="J184" s="18" t="s">
        <v>57</v>
      </c>
      <c r="K184" s="76">
        <v>801116</v>
      </c>
      <c r="L184" s="76" t="s">
        <v>428</v>
      </c>
      <c r="M184" s="114" t="s">
        <v>59</v>
      </c>
      <c r="N184" s="114" t="s">
        <v>60</v>
      </c>
      <c r="O184" s="77" t="s">
        <v>429</v>
      </c>
      <c r="P184" s="114" t="s">
        <v>537</v>
      </c>
      <c r="Q184" s="115">
        <v>7210000</v>
      </c>
      <c r="R184" s="116">
        <v>1</v>
      </c>
      <c r="S184" s="117">
        <f t="shared" si="19"/>
        <v>82915000</v>
      </c>
      <c r="T184" s="255" t="s">
        <v>533</v>
      </c>
      <c r="U184" s="255" t="s">
        <v>432</v>
      </c>
      <c r="V184" s="119" t="s">
        <v>308</v>
      </c>
      <c r="W184" s="255">
        <v>11.5</v>
      </c>
      <c r="X184" s="256" t="s">
        <v>636</v>
      </c>
      <c r="Y184" s="120">
        <v>43104</v>
      </c>
      <c r="Z184" s="121">
        <f t="shared" si="20"/>
        <v>82915000</v>
      </c>
      <c r="AA184" s="256"/>
      <c r="AB184" s="256">
        <v>297</v>
      </c>
      <c r="AC184" s="122">
        <v>43109</v>
      </c>
      <c r="AD184" s="115">
        <v>82915000</v>
      </c>
      <c r="AE184" s="129">
        <f t="shared" si="26"/>
        <v>0</v>
      </c>
      <c r="AF184" s="124">
        <v>386</v>
      </c>
      <c r="AG184" s="122">
        <v>43124</v>
      </c>
      <c r="AH184" s="123">
        <f t="shared" si="27"/>
        <v>82915000</v>
      </c>
      <c r="AI184" s="125" t="s">
        <v>637</v>
      </c>
      <c r="AJ184" s="256">
        <v>308</v>
      </c>
      <c r="AK184" s="126"/>
      <c r="AL184" s="123">
        <f t="shared" si="30"/>
        <v>82915000</v>
      </c>
      <c r="AM184" s="123">
        <v>15862000</v>
      </c>
      <c r="AN184" s="123">
        <f t="shared" si="29"/>
        <v>67053000</v>
      </c>
      <c r="AO184" s="125" t="s">
        <v>435</v>
      </c>
      <c r="AP184" s="128"/>
      <c r="AQ184" s="128"/>
      <c r="AR184" s="128"/>
      <c r="AS184" s="128"/>
      <c r="AT184" s="128"/>
    </row>
    <row r="185" spans="1:46" ht="90" x14ac:dyDescent="0.25">
      <c r="A185" s="114">
        <v>55</v>
      </c>
      <c r="B185" s="114" t="s">
        <v>638</v>
      </c>
      <c r="C185" s="98" t="s">
        <v>424</v>
      </c>
      <c r="D185" s="18" t="s">
        <v>425</v>
      </c>
      <c r="E185" s="114" t="s">
        <v>453</v>
      </c>
      <c r="F185" s="18" t="s">
        <v>53</v>
      </c>
      <c r="G185" s="18" t="s">
        <v>54</v>
      </c>
      <c r="H185" s="99" t="s">
        <v>427</v>
      </c>
      <c r="I185" s="18" t="s">
        <v>56</v>
      </c>
      <c r="J185" s="18" t="s">
        <v>57</v>
      </c>
      <c r="K185" s="76">
        <v>801116</v>
      </c>
      <c r="L185" s="76" t="s">
        <v>428</v>
      </c>
      <c r="M185" s="114" t="s">
        <v>59</v>
      </c>
      <c r="N185" s="114" t="s">
        <v>60</v>
      </c>
      <c r="O185" s="77" t="s">
        <v>429</v>
      </c>
      <c r="P185" s="114" t="s">
        <v>639</v>
      </c>
      <c r="Q185" s="115">
        <v>4120000</v>
      </c>
      <c r="R185" s="116">
        <v>1</v>
      </c>
      <c r="S185" s="115">
        <f t="shared" si="19"/>
        <v>47380000</v>
      </c>
      <c r="T185" s="255" t="s">
        <v>533</v>
      </c>
      <c r="U185" s="255" t="s">
        <v>432</v>
      </c>
      <c r="V185" s="119" t="s">
        <v>308</v>
      </c>
      <c r="W185" s="255">
        <v>11.5</v>
      </c>
      <c r="X185" s="256" t="s">
        <v>640</v>
      </c>
      <c r="Y185" s="120">
        <v>43104</v>
      </c>
      <c r="Z185" s="121">
        <f t="shared" si="20"/>
        <v>47380000</v>
      </c>
      <c r="AA185" s="256"/>
      <c r="AB185" s="256">
        <v>298</v>
      </c>
      <c r="AC185" s="122">
        <v>43109</v>
      </c>
      <c r="AD185" s="115">
        <v>47380000</v>
      </c>
      <c r="AE185" s="129">
        <f t="shared" si="26"/>
        <v>0</v>
      </c>
      <c r="AF185" s="124">
        <v>304</v>
      </c>
      <c r="AG185" s="122">
        <v>43122</v>
      </c>
      <c r="AH185" s="123">
        <f t="shared" si="27"/>
        <v>47380000</v>
      </c>
      <c r="AI185" s="125" t="s">
        <v>641</v>
      </c>
      <c r="AJ185" s="256">
        <v>278</v>
      </c>
      <c r="AK185" s="126"/>
      <c r="AL185" s="123">
        <f t="shared" si="30"/>
        <v>47380000</v>
      </c>
      <c r="AM185" s="123">
        <v>9338667</v>
      </c>
      <c r="AN185" s="123">
        <f t="shared" si="29"/>
        <v>38041333</v>
      </c>
      <c r="AO185" s="125" t="s">
        <v>435</v>
      </c>
      <c r="AP185" s="128"/>
      <c r="AQ185" s="128"/>
      <c r="AR185" s="128"/>
      <c r="AS185" s="128"/>
      <c r="AT185" s="128"/>
    </row>
    <row r="186" spans="1:46" ht="115.5" x14ac:dyDescent="0.25">
      <c r="A186" s="114">
        <v>56</v>
      </c>
      <c r="B186" s="114" t="s">
        <v>642</v>
      </c>
      <c r="C186" s="98" t="s">
        <v>424</v>
      </c>
      <c r="D186" s="18" t="s">
        <v>425</v>
      </c>
      <c r="E186" s="114" t="s">
        <v>453</v>
      </c>
      <c r="F186" s="18" t="s">
        <v>53</v>
      </c>
      <c r="G186" s="18" t="s">
        <v>54</v>
      </c>
      <c r="H186" s="99" t="s">
        <v>427</v>
      </c>
      <c r="I186" s="18" t="s">
        <v>56</v>
      </c>
      <c r="J186" s="18" t="s">
        <v>57</v>
      </c>
      <c r="K186" s="76">
        <v>801116</v>
      </c>
      <c r="L186" s="76" t="s">
        <v>428</v>
      </c>
      <c r="M186" s="114" t="s">
        <v>59</v>
      </c>
      <c r="N186" s="114" t="s">
        <v>60</v>
      </c>
      <c r="O186" s="77" t="s">
        <v>429</v>
      </c>
      <c r="P186" s="114" t="s">
        <v>578</v>
      </c>
      <c r="Q186" s="115">
        <v>2472000</v>
      </c>
      <c r="R186" s="116">
        <v>1</v>
      </c>
      <c r="S186" s="115">
        <f t="shared" si="19"/>
        <v>28428000</v>
      </c>
      <c r="T186" s="255" t="s">
        <v>533</v>
      </c>
      <c r="U186" s="255" t="s">
        <v>432</v>
      </c>
      <c r="V186" s="119" t="s">
        <v>308</v>
      </c>
      <c r="W186" s="255">
        <v>11.5</v>
      </c>
      <c r="X186" s="256" t="s">
        <v>643</v>
      </c>
      <c r="Y186" s="120">
        <v>43104</v>
      </c>
      <c r="Z186" s="121">
        <f t="shared" si="20"/>
        <v>28428000</v>
      </c>
      <c r="AA186" s="256"/>
      <c r="AB186" s="256">
        <v>299</v>
      </c>
      <c r="AC186" s="122">
        <v>43109</v>
      </c>
      <c r="AD186" s="115">
        <v>28428000</v>
      </c>
      <c r="AE186" s="129">
        <f t="shared" si="26"/>
        <v>0</v>
      </c>
      <c r="AF186" s="124">
        <v>195</v>
      </c>
      <c r="AG186" s="122">
        <v>43118</v>
      </c>
      <c r="AH186" s="123">
        <f t="shared" si="27"/>
        <v>28428000</v>
      </c>
      <c r="AI186" s="125" t="s">
        <v>644</v>
      </c>
      <c r="AJ186" s="256">
        <v>183</v>
      </c>
      <c r="AK186" s="126"/>
      <c r="AL186" s="123">
        <f t="shared" si="30"/>
        <v>28428000</v>
      </c>
      <c r="AM186" s="123">
        <v>5932800</v>
      </c>
      <c r="AN186" s="123">
        <f t="shared" si="29"/>
        <v>22495200</v>
      </c>
      <c r="AO186" s="125" t="s">
        <v>435</v>
      </c>
      <c r="AP186" s="128"/>
      <c r="AQ186" s="128"/>
      <c r="AR186" s="128"/>
      <c r="AS186" s="128"/>
      <c r="AT186" s="128"/>
    </row>
    <row r="187" spans="1:46" ht="90" x14ac:dyDescent="0.25">
      <c r="A187" s="114">
        <v>57</v>
      </c>
      <c r="B187" s="114" t="s">
        <v>645</v>
      </c>
      <c r="C187" s="98" t="s">
        <v>424</v>
      </c>
      <c r="D187" s="18" t="s">
        <v>425</v>
      </c>
      <c r="E187" s="114" t="s">
        <v>453</v>
      </c>
      <c r="F187" s="18" t="s">
        <v>53</v>
      </c>
      <c r="G187" s="18" t="s">
        <v>54</v>
      </c>
      <c r="H187" s="99" t="s">
        <v>427</v>
      </c>
      <c r="I187" s="18" t="s">
        <v>56</v>
      </c>
      <c r="J187" s="18" t="s">
        <v>57</v>
      </c>
      <c r="K187" s="76">
        <v>801116</v>
      </c>
      <c r="L187" s="76" t="s">
        <v>428</v>
      </c>
      <c r="M187" s="114" t="s">
        <v>59</v>
      </c>
      <c r="N187" s="114" t="s">
        <v>60</v>
      </c>
      <c r="O187" s="77" t="s">
        <v>429</v>
      </c>
      <c r="P187" s="114" t="s">
        <v>588</v>
      </c>
      <c r="Q187" s="115">
        <v>4120000</v>
      </c>
      <c r="R187" s="116">
        <v>1</v>
      </c>
      <c r="S187" s="115">
        <f t="shared" si="19"/>
        <v>47380000</v>
      </c>
      <c r="T187" s="255" t="s">
        <v>533</v>
      </c>
      <c r="U187" s="255" t="s">
        <v>432</v>
      </c>
      <c r="V187" s="119" t="s">
        <v>308</v>
      </c>
      <c r="W187" s="255">
        <v>11.5</v>
      </c>
      <c r="X187" s="256" t="s">
        <v>646</v>
      </c>
      <c r="Y187" s="120">
        <v>43104</v>
      </c>
      <c r="Z187" s="121">
        <f t="shared" si="20"/>
        <v>47380000</v>
      </c>
      <c r="AA187" s="256"/>
      <c r="AB187" s="256">
        <v>300</v>
      </c>
      <c r="AC187" s="122">
        <v>43109</v>
      </c>
      <c r="AD187" s="115">
        <v>47380000</v>
      </c>
      <c r="AE187" s="129">
        <f t="shared" si="26"/>
        <v>0</v>
      </c>
      <c r="AF187" s="124">
        <v>272</v>
      </c>
      <c r="AG187" s="122">
        <v>43122</v>
      </c>
      <c r="AH187" s="123">
        <f t="shared" si="27"/>
        <v>47380000</v>
      </c>
      <c r="AI187" s="125" t="s">
        <v>647</v>
      </c>
      <c r="AJ187" s="256">
        <v>242</v>
      </c>
      <c r="AK187" s="126"/>
      <c r="AL187" s="123">
        <f t="shared" si="30"/>
        <v>47380000</v>
      </c>
      <c r="AM187" s="123">
        <v>9476000</v>
      </c>
      <c r="AN187" s="123">
        <f t="shared" si="29"/>
        <v>37904000</v>
      </c>
      <c r="AO187" s="125" t="s">
        <v>435</v>
      </c>
      <c r="AP187" s="128"/>
      <c r="AQ187" s="128"/>
      <c r="AR187" s="128"/>
      <c r="AS187" s="128"/>
      <c r="AT187" s="128"/>
    </row>
    <row r="188" spans="1:46" ht="90" x14ac:dyDescent="0.25">
      <c r="A188" s="114">
        <v>58</v>
      </c>
      <c r="B188" s="114" t="s">
        <v>648</v>
      </c>
      <c r="C188" s="98" t="s">
        <v>424</v>
      </c>
      <c r="D188" s="18" t="s">
        <v>425</v>
      </c>
      <c r="E188" s="114" t="s">
        <v>453</v>
      </c>
      <c r="F188" s="18" t="s">
        <v>53</v>
      </c>
      <c r="G188" s="18" t="s">
        <v>54</v>
      </c>
      <c r="H188" s="99" t="s">
        <v>427</v>
      </c>
      <c r="I188" s="18" t="s">
        <v>56</v>
      </c>
      <c r="J188" s="18" t="s">
        <v>57</v>
      </c>
      <c r="K188" s="76">
        <v>801116</v>
      </c>
      <c r="L188" s="76" t="s">
        <v>428</v>
      </c>
      <c r="M188" s="114" t="s">
        <v>59</v>
      </c>
      <c r="N188" s="114" t="s">
        <v>60</v>
      </c>
      <c r="O188" s="77" t="s">
        <v>429</v>
      </c>
      <c r="P188" s="114" t="s">
        <v>588</v>
      </c>
      <c r="Q188" s="115">
        <v>4120000</v>
      </c>
      <c r="R188" s="116">
        <v>1</v>
      </c>
      <c r="S188" s="115">
        <f t="shared" si="19"/>
        <v>47380000</v>
      </c>
      <c r="T188" s="255" t="s">
        <v>533</v>
      </c>
      <c r="U188" s="255" t="s">
        <v>432</v>
      </c>
      <c r="V188" s="119" t="s">
        <v>308</v>
      </c>
      <c r="W188" s="255">
        <v>11.5</v>
      </c>
      <c r="X188" s="256" t="s">
        <v>649</v>
      </c>
      <c r="Y188" s="120">
        <v>43104</v>
      </c>
      <c r="Z188" s="121">
        <f t="shared" si="20"/>
        <v>47380000</v>
      </c>
      <c r="AA188" s="256"/>
      <c r="AB188" s="256">
        <v>301</v>
      </c>
      <c r="AC188" s="122">
        <v>43109</v>
      </c>
      <c r="AD188" s="115">
        <v>47380000</v>
      </c>
      <c r="AE188" s="129">
        <f t="shared" si="26"/>
        <v>0</v>
      </c>
      <c r="AF188" s="124">
        <v>276</v>
      </c>
      <c r="AG188" s="122">
        <v>43122</v>
      </c>
      <c r="AH188" s="123">
        <f t="shared" si="27"/>
        <v>47380000</v>
      </c>
      <c r="AI188" s="125" t="s">
        <v>650</v>
      </c>
      <c r="AJ188" s="256">
        <v>246</v>
      </c>
      <c r="AK188" s="126"/>
      <c r="AL188" s="123">
        <f t="shared" si="30"/>
        <v>47380000</v>
      </c>
      <c r="AM188" s="123">
        <v>9476000</v>
      </c>
      <c r="AN188" s="123">
        <f t="shared" si="29"/>
        <v>37904000</v>
      </c>
      <c r="AO188" s="125" t="s">
        <v>435</v>
      </c>
      <c r="AP188" s="128"/>
      <c r="AQ188" s="128"/>
      <c r="AR188" s="128"/>
      <c r="AS188" s="128"/>
      <c r="AT188" s="128"/>
    </row>
    <row r="189" spans="1:46" ht="90" x14ac:dyDescent="0.25">
      <c r="A189" s="114">
        <v>59</v>
      </c>
      <c r="B189" s="114" t="s">
        <v>651</v>
      </c>
      <c r="C189" s="98" t="s">
        <v>424</v>
      </c>
      <c r="D189" s="18" t="s">
        <v>425</v>
      </c>
      <c r="E189" s="114" t="s">
        <v>453</v>
      </c>
      <c r="F189" s="18" t="s">
        <v>53</v>
      </c>
      <c r="G189" s="18" t="s">
        <v>54</v>
      </c>
      <c r="H189" s="99" t="s">
        <v>427</v>
      </c>
      <c r="I189" s="18" t="s">
        <v>56</v>
      </c>
      <c r="J189" s="18" t="s">
        <v>57</v>
      </c>
      <c r="K189" s="76">
        <v>801116</v>
      </c>
      <c r="L189" s="76" t="s">
        <v>428</v>
      </c>
      <c r="M189" s="114" t="s">
        <v>59</v>
      </c>
      <c r="N189" s="114" t="s">
        <v>60</v>
      </c>
      <c r="O189" s="77" t="s">
        <v>429</v>
      </c>
      <c r="P189" s="114" t="s">
        <v>652</v>
      </c>
      <c r="Q189" s="115">
        <v>15420000</v>
      </c>
      <c r="R189" s="116">
        <v>1</v>
      </c>
      <c r="S189" s="115">
        <f t="shared" si="19"/>
        <v>177330000</v>
      </c>
      <c r="T189" s="255" t="s">
        <v>533</v>
      </c>
      <c r="U189" s="255" t="s">
        <v>432</v>
      </c>
      <c r="V189" s="119" t="s">
        <v>308</v>
      </c>
      <c r="W189" s="255">
        <v>11.5</v>
      </c>
      <c r="X189" s="256" t="s">
        <v>653</v>
      </c>
      <c r="Y189" s="120">
        <v>43104</v>
      </c>
      <c r="Z189" s="121">
        <f t="shared" si="20"/>
        <v>177330000</v>
      </c>
      <c r="AA189" s="256"/>
      <c r="AB189" s="256">
        <v>302</v>
      </c>
      <c r="AC189" s="122">
        <v>43109</v>
      </c>
      <c r="AD189" s="115">
        <v>177330000</v>
      </c>
      <c r="AE189" s="129">
        <f t="shared" si="26"/>
        <v>0</v>
      </c>
      <c r="AF189" s="124">
        <v>244</v>
      </c>
      <c r="AG189" s="122">
        <v>43119</v>
      </c>
      <c r="AH189" s="123">
        <f t="shared" si="27"/>
        <v>177330000</v>
      </c>
      <c r="AI189" s="125" t="s">
        <v>654</v>
      </c>
      <c r="AJ189" s="256">
        <v>217</v>
      </c>
      <c r="AK189" s="126"/>
      <c r="AL189" s="123">
        <f t="shared" si="30"/>
        <v>177330000</v>
      </c>
      <c r="AM189" s="123">
        <v>37008000</v>
      </c>
      <c r="AN189" s="123">
        <f t="shared" si="29"/>
        <v>140322000</v>
      </c>
      <c r="AO189" s="125" t="s">
        <v>435</v>
      </c>
      <c r="AP189" s="128"/>
      <c r="AQ189" s="128"/>
      <c r="AR189" s="128"/>
      <c r="AS189" s="128"/>
      <c r="AT189" s="128"/>
    </row>
    <row r="190" spans="1:46" ht="102.75" x14ac:dyDescent="0.25">
      <c r="A190" s="114">
        <v>60</v>
      </c>
      <c r="B190" s="114" t="s">
        <v>655</v>
      </c>
      <c r="C190" s="98" t="s">
        <v>424</v>
      </c>
      <c r="D190" s="18" t="s">
        <v>425</v>
      </c>
      <c r="E190" s="114" t="s">
        <v>453</v>
      </c>
      <c r="F190" s="18" t="s">
        <v>53</v>
      </c>
      <c r="G190" s="18" t="s">
        <v>54</v>
      </c>
      <c r="H190" s="99" t="s">
        <v>427</v>
      </c>
      <c r="I190" s="18" t="s">
        <v>56</v>
      </c>
      <c r="J190" s="18" t="s">
        <v>57</v>
      </c>
      <c r="K190" s="76">
        <v>801116</v>
      </c>
      <c r="L190" s="76" t="s">
        <v>428</v>
      </c>
      <c r="M190" s="114" t="s">
        <v>59</v>
      </c>
      <c r="N190" s="114" t="s">
        <v>60</v>
      </c>
      <c r="O190" s="77" t="s">
        <v>429</v>
      </c>
      <c r="P190" s="114" t="s">
        <v>656</v>
      </c>
      <c r="Q190" s="115">
        <v>1751000</v>
      </c>
      <c r="R190" s="116">
        <v>1</v>
      </c>
      <c r="S190" s="115">
        <f t="shared" si="19"/>
        <v>20136500</v>
      </c>
      <c r="T190" s="255" t="s">
        <v>533</v>
      </c>
      <c r="U190" s="255" t="s">
        <v>432</v>
      </c>
      <c r="V190" s="119" t="s">
        <v>308</v>
      </c>
      <c r="W190" s="255">
        <v>11.5</v>
      </c>
      <c r="X190" s="256" t="s">
        <v>657</v>
      </c>
      <c r="Y190" s="120">
        <v>43104</v>
      </c>
      <c r="Z190" s="121">
        <f t="shared" si="20"/>
        <v>20136500</v>
      </c>
      <c r="AA190" s="256"/>
      <c r="AB190" s="256">
        <v>303</v>
      </c>
      <c r="AC190" s="122">
        <v>43109</v>
      </c>
      <c r="AD190" s="115">
        <v>20136500</v>
      </c>
      <c r="AE190" s="129">
        <f t="shared" si="26"/>
        <v>0</v>
      </c>
      <c r="AF190" s="124">
        <v>388</v>
      </c>
      <c r="AG190" s="122">
        <v>43124</v>
      </c>
      <c r="AH190" s="123">
        <f t="shared" si="27"/>
        <v>20136500</v>
      </c>
      <c r="AI190" s="125" t="s">
        <v>658</v>
      </c>
      <c r="AJ190" s="256">
        <v>311</v>
      </c>
      <c r="AK190" s="126"/>
      <c r="AL190" s="123">
        <f t="shared" si="30"/>
        <v>20136500</v>
      </c>
      <c r="AM190" s="123">
        <v>3852200</v>
      </c>
      <c r="AN190" s="123">
        <f t="shared" si="29"/>
        <v>16284300</v>
      </c>
      <c r="AO190" s="125" t="s">
        <v>435</v>
      </c>
      <c r="AP190" s="128"/>
      <c r="AQ190" s="128"/>
      <c r="AR190" s="128"/>
      <c r="AS190" s="128"/>
      <c r="AT190" s="128"/>
    </row>
    <row r="191" spans="1:46" ht="128.25" x14ac:dyDescent="0.25">
      <c r="A191" s="114">
        <v>61</v>
      </c>
      <c r="B191" s="114" t="s">
        <v>659</v>
      </c>
      <c r="C191" s="98" t="s">
        <v>424</v>
      </c>
      <c r="D191" s="18" t="s">
        <v>425</v>
      </c>
      <c r="E191" s="114" t="s">
        <v>453</v>
      </c>
      <c r="F191" s="18" t="s">
        <v>53</v>
      </c>
      <c r="G191" s="18" t="s">
        <v>54</v>
      </c>
      <c r="H191" s="99" t="s">
        <v>427</v>
      </c>
      <c r="I191" s="18" t="s">
        <v>56</v>
      </c>
      <c r="J191" s="18" t="s">
        <v>57</v>
      </c>
      <c r="K191" s="76">
        <v>801116</v>
      </c>
      <c r="L191" s="76" t="s">
        <v>428</v>
      </c>
      <c r="M191" s="114" t="s">
        <v>59</v>
      </c>
      <c r="N191" s="114" t="s">
        <v>60</v>
      </c>
      <c r="O191" s="77" t="s">
        <v>429</v>
      </c>
      <c r="P191" s="114" t="s">
        <v>458</v>
      </c>
      <c r="Q191" s="115">
        <v>5665000</v>
      </c>
      <c r="R191" s="116">
        <v>1</v>
      </c>
      <c r="S191" s="115">
        <f t="shared" si="19"/>
        <v>65147500</v>
      </c>
      <c r="T191" s="255" t="s">
        <v>533</v>
      </c>
      <c r="U191" s="255" t="s">
        <v>432</v>
      </c>
      <c r="V191" s="119" t="s">
        <v>308</v>
      </c>
      <c r="W191" s="255">
        <v>11.5</v>
      </c>
      <c r="X191" s="256" t="s">
        <v>660</v>
      </c>
      <c r="Y191" s="120">
        <v>43104</v>
      </c>
      <c r="Z191" s="121">
        <f t="shared" si="20"/>
        <v>65147500</v>
      </c>
      <c r="AA191" s="256"/>
      <c r="AB191" s="256">
        <v>304</v>
      </c>
      <c r="AC191" s="122">
        <v>43109</v>
      </c>
      <c r="AD191" s="115">
        <v>65147500</v>
      </c>
      <c r="AE191" s="129">
        <f t="shared" si="26"/>
        <v>0</v>
      </c>
      <c r="AF191" s="124">
        <v>315</v>
      </c>
      <c r="AG191" s="122">
        <v>43122</v>
      </c>
      <c r="AH191" s="123">
        <f t="shared" si="27"/>
        <v>65147500</v>
      </c>
      <c r="AI191" s="125" t="s">
        <v>661</v>
      </c>
      <c r="AJ191" s="256">
        <v>275</v>
      </c>
      <c r="AK191" s="126"/>
      <c r="AL191" s="123">
        <f t="shared" si="30"/>
        <v>65147500</v>
      </c>
      <c r="AM191" s="123">
        <v>12840667</v>
      </c>
      <c r="AN191" s="123">
        <f t="shared" si="29"/>
        <v>52306833</v>
      </c>
      <c r="AO191" s="125" t="s">
        <v>435</v>
      </c>
      <c r="AP191" s="128"/>
      <c r="AQ191" s="128"/>
      <c r="AR191" s="128"/>
      <c r="AS191" s="128"/>
      <c r="AT191" s="128"/>
    </row>
    <row r="192" spans="1:46" ht="153.75" x14ac:dyDescent="0.25">
      <c r="A192" s="114">
        <v>62</v>
      </c>
      <c r="B192" s="114" t="s">
        <v>662</v>
      </c>
      <c r="C192" s="98" t="s">
        <v>424</v>
      </c>
      <c r="D192" s="18" t="s">
        <v>425</v>
      </c>
      <c r="E192" s="114" t="s">
        <v>453</v>
      </c>
      <c r="F192" s="18" t="s">
        <v>53</v>
      </c>
      <c r="G192" s="18" t="s">
        <v>54</v>
      </c>
      <c r="H192" s="99" t="s">
        <v>427</v>
      </c>
      <c r="I192" s="18" t="s">
        <v>56</v>
      </c>
      <c r="J192" s="18" t="s">
        <v>57</v>
      </c>
      <c r="K192" s="76">
        <v>801116</v>
      </c>
      <c r="L192" s="76" t="s">
        <v>428</v>
      </c>
      <c r="M192" s="114" t="s">
        <v>59</v>
      </c>
      <c r="N192" s="114" t="s">
        <v>60</v>
      </c>
      <c r="O192" s="77" t="s">
        <v>429</v>
      </c>
      <c r="P192" s="114" t="s">
        <v>663</v>
      </c>
      <c r="Q192" s="115">
        <v>5665000</v>
      </c>
      <c r="R192" s="116">
        <v>1</v>
      </c>
      <c r="S192" s="115">
        <f t="shared" si="19"/>
        <v>65147500</v>
      </c>
      <c r="T192" s="255" t="s">
        <v>533</v>
      </c>
      <c r="U192" s="255" t="s">
        <v>432</v>
      </c>
      <c r="V192" s="119" t="s">
        <v>308</v>
      </c>
      <c r="W192" s="255">
        <v>11.5</v>
      </c>
      <c r="X192" s="256" t="s">
        <v>664</v>
      </c>
      <c r="Y192" s="120">
        <v>43104</v>
      </c>
      <c r="Z192" s="121">
        <f t="shared" si="20"/>
        <v>65147500</v>
      </c>
      <c r="AA192" s="256"/>
      <c r="AB192" s="256">
        <v>305</v>
      </c>
      <c r="AC192" s="122">
        <v>43109</v>
      </c>
      <c r="AD192" s="115">
        <v>65147500</v>
      </c>
      <c r="AE192" s="129">
        <f t="shared" si="26"/>
        <v>0</v>
      </c>
      <c r="AF192" s="124">
        <v>393</v>
      </c>
      <c r="AG192" s="122">
        <v>43124</v>
      </c>
      <c r="AH192" s="123">
        <f t="shared" si="27"/>
        <v>65147500</v>
      </c>
      <c r="AI192" s="125" t="s">
        <v>665</v>
      </c>
      <c r="AJ192" s="256">
        <v>315</v>
      </c>
      <c r="AK192" s="126"/>
      <c r="AL192" s="123">
        <f t="shared" si="30"/>
        <v>65147500</v>
      </c>
      <c r="AM192" s="123">
        <v>12463000</v>
      </c>
      <c r="AN192" s="123">
        <f t="shared" si="29"/>
        <v>52684500</v>
      </c>
      <c r="AO192" s="125" t="s">
        <v>435</v>
      </c>
      <c r="AP192" s="128"/>
      <c r="AQ192" s="128"/>
      <c r="AR192" s="128"/>
      <c r="AS192" s="128"/>
      <c r="AT192" s="128"/>
    </row>
    <row r="193" spans="1:46" ht="115.5" x14ac:dyDescent="0.25">
      <c r="A193" s="114">
        <v>63</v>
      </c>
      <c r="B193" s="114" t="s">
        <v>666</v>
      </c>
      <c r="C193" s="98" t="s">
        <v>424</v>
      </c>
      <c r="D193" s="18" t="s">
        <v>425</v>
      </c>
      <c r="E193" s="114" t="s">
        <v>453</v>
      </c>
      <c r="F193" s="18" t="s">
        <v>53</v>
      </c>
      <c r="G193" s="18" t="s">
        <v>54</v>
      </c>
      <c r="H193" s="99" t="s">
        <v>427</v>
      </c>
      <c r="I193" s="18" t="s">
        <v>56</v>
      </c>
      <c r="J193" s="18" t="s">
        <v>57</v>
      </c>
      <c r="K193" s="76">
        <v>801116</v>
      </c>
      <c r="L193" s="76" t="s">
        <v>428</v>
      </c>
      <c r="M193" s="114" t="s">
        <v>59</v>
      </c>
      <c r="N193" s="114" t="s">
        <v>60</v>
      </c>
      <c r="O193" s="77" t="s">
        <v>429</v>
      </c>
      <c r="P193" s="114" t="s">
        <v>667</v>
      </c>
      <c r="Q193" s="115">
        <v>3326900</v>
      </c>
      <c r="R193" s="116">
        <v>1</v>
      </c>
      <c r="S193" s="115">
        <f t="shared" si="19"/>
        <v>38259350</v>
      </c>
      <c r="T193" s="255" t="s">
        <v>533</v>
      </c>
      <c r="U193" s="255" t="s">
        <v>432</v>
      </c>
      <c r="V193" s="119" t="s">
        <v>308</v>
      </c>
      <c r="W193" s="255">
        <v>11.5</v>
      </c>
      <c r="X193" s="256" t="s">
        <v>668</v>
      </c>
      <c r="Y193" s="120">
        <v>43104</v>
      </c>
      <c r="Z193" s="121">
        <f t="shared" si="20"/>
        <v>38259350</v>
      </c>
      <c r="AA193" s="256"/>
      <c r="AB193" s="256">
        <v>306</v>
      </c>
      <c r="AC193" s="122">
        <v>43109</v>
      </c>
      <c r="AD193" s="115">
        <v>38259350</v>
      </c>
      <c r="AE193" s="129">
        <f t="shared" si="26"/>
        <v>0</v>
      </c>
      <c r="AF193" s="124">
        <v>314</v>
      </c>
      <c r="AG193" s="122">
        <v>43122</v>
      </c>
      <c r="AH193" s="123">
        <f t="shared" si="27"/>
        <v>38259350</v>
      </c>
      <c r="AI193" s="125" t="s">
        <v>669</v>
      </c>
      <c r="AJ193" s="256">
        <v>274</v>
      </c>
      <c r="AK193" s="126"/>
      <c r="AL193" s="123">
        <f t="shared" si="30"/>
        <v>38259350</v>
      </c>
      <c r="AM193" s="123">
        <v>7540974</v>
      </c>
      <c r="AN193" s="123">
        <f t="shared" si="29"/>
        <v>30718376</v>
      </c>
      <c r="AO193" s="125" t="s">
        <v>435</v>
      </c>
      <c r="AP193" s="128"/>
      <c r="AQ193" s="128"/>
      <c r="AR193" s="128"/>
      <c r="AS193" s="128"/>
      <c r="AT193" s="128"/>
    </row>
    <row r="194" spans="1:46" ht="90" x14ac:dyDescent="0.25">
      <c r="A194" s="114">
        <v>64</v>
      </c>
      <c r="B194" s="114" t="s">
        <v>670</v>
      </c>
      <c r="C194" s="98" t="s">
        <v>424</v>
      </c>
      <c r="D194" s="18" t="s">
        <v>425</v>
      </c>
      <c r="E194" s="114" t="s">
        <v>426</v>
      </c>
      <c r="F194" s="18" t="s">
        <v>53</v>
      </c>
      <c r="G194" s="18" t="s">
        <v>54</v>
      </c>
      <c r="H194" s="99" t="s">
        <v>427</v>
      </c>
      <c r="I194" s="18" t="s">
        <v>56</v>
      </c>
      <c r="J194" s="18" t="s">
        <v>57</v>
      </c>
      <c r="K194" s="76">
        <v>801116</v>
      </c>
      <c r="L194" s="76" t="s">
        <v>428</v>
      </c>
      <c r="M194" s="114" t="s">
        <v>59</v>
      </c>
      <c r="N194" s="114" t="s">
        <v>60</v>
      </c>
      <c r="O194" s="77" t="s">
        <v>429</v>
      </c>
      <c r="P194" s="114" t="s">
        <v>671</v>
      </c>
      <c r="Q194" s="115">
        <v>1751000</v>
      </c>
      <c r="R194" s="116">
        <v>1</v>
      </c>
      <c r="S194" s="117">
        <f t="shared" si="19"/>
        <v>20136500</v>
      </c>
      <c r="T194" s="255" t="s">
        <v>533</v>
      </c>
      <c r="U194" s="255" t="s">
        <v>432</v>
      </c>
      <c r="V194" s="119" t="s">
        <v>308</v>
      </c>
      <c r="W194" s="255">
        <v>11.5</v>
      </c>
      <c r="X194" s="256" t="s">
        <v>672</v>
      </c>
      <c r="Y194" s="120">
        <v>43104</v>
      </c>
      <c r="Z194" s="121">
        <f t="shared" si="20"/>
        <v>20136500</v>
      </c>
      <c r="AA194" s="256"/>
      <c r="AB194" s="256">
        <v>307</v>
      </c>
      <c r="AC194" s="122">
        <v>43109</v>
      </c>
      <c r="AD194" s="115">
        <v>20136500</v>
      </c>
      <c r="AE194" s="129">
        <f t="shared" si="26"/>
        <v>0</v>
      </c>
      <c r="AF194" s="124">
        <v>498</v>
      </c>
      <c r="AG194" s="122">
        <v>43126</v>
      </c>
      <c r="AH194" s="123">
        <f t="shared" si="27"/>
        <v>20136500</v>
      </c>
      <c r="AI194" s="125" t="s">
        <v>673</v>
      </c>
      <c r="AJ194" s="256">
        <v>421</v>
      </c>
      <c r="AK194" s="126"/>
      <c r="AL194" s="123">
        <f t="shared" si="30"/>
        <v>20136500</v>
      </c>
      <c r="AM194" s="123">
        <v>3618733</v>
      </c>
      <c r="AN194" s="123">
        <f t="shared" si="29"/>
        <v>16517767</v>
      </c>
      <c r="AO194" s="125" t="s">
        <v>435</v>
      </c>
      <c r="AP194" s="128"/>
      <c r="AQ194" s="128"/>
      <c r="AR194" s="128"/>
      <c r="AS194" s="128"/>
      <c r="AT194" s="128"/>
    </row>
    <row r="195" spans="1:46" ht="102.75" x14ac:dyDescent="0.25">
      <c r="A195" s="114">
        <v>65</v>
      </c>
      <c r="B195" s="114" t="s">
        <v>674</v>
      </c>
      <c r="C195" s="98" t="s">
        <v>424</v>
      </c>
      <c r="D195" s="18" t="s">
        <v>425</v>
      </c>
      <c r="E195" s="114" t="s">
        <v>426</v>
      </c>
      <c r="F195" s="18" t="s">
        <v>53</v>
      </c>
      <c r="G195" s="18" t="s">
        <v>54</v>
      </c>
      <c r="H195" s="99" t="s">
        <v>427</v>
      </c>
      <c r="I195" s="18" t="s">
        <v>56</v>
      </c>
      <c r="J195" s="18" t="s">
        <v>57</v>
      </c>
      <c r="K195" s="76">
        <v>801116</v>
      </c>
      <c r="L195" s="76" t="s">
        <v>428</v>
      </c>
      <c r="M195" s="114" t="s">
        <v>59</v>
      </c>
      <c r="N195" s="114" t="s">
        <v>60</v>
      </c>
      <c r="O195" s="77" t="s">
        <v>429</v>
      </c>
      <c r="P195" s="114" t="s">
        <v>675</v>
      </c>
      <c r="Q195" s="115">
        <v>8240000</v>
      </c>
      <c r="R195" s="116">
        <v>1</v>
      </c>
      <c r="S195" s="117">
        <f t="shared" si="19"/>
        <v>94760000</v>
      </c>
      <c r="T195" s="255" t="s">
        <v>533</v>
      </c>
      <c r="U195" s="255" t="s">
        <v>432</v>
      </c>
      <c r="V195" s="119" t="s">
        <v>308</v>
      </c>
      <c r="W195" s="255">
        <v>11.5</v>
      </c>
      <c r="X195" s="256" t="s">
        <v>676</v>
      </c>
      <c r="Y195" s="120">
        <v>43104</v>
      </c>
      <c r="Z195" s="121">
        <f t="shared" si="20"/>
        <v>94760000</v>
      </c>
      <c r="AA195" s="256"/>
      <c r="AB195" s="256">
        <v>308</v>
      </c>
      <c r="AC195" s="122">
        <v>43109</v>
      </c>
      <c r="AD195" s="115">
        <v>94760000</v>
      </c>
      <c r="AE195" s="129">
        <f t="shared" si="26"/>
        <v>0</v>
      </c>
      <c r="AF195" s="124">
        <v>463</v>
      </c>
      <c r="AG195" s="122">
        <v>43126</v>
      </c>
      <c r="AH195" s="123">
        <f t="shared" si="27"/>
        <v>94760000</v>
      </c>
      <c r="AI195" s="125" t="s">
        <v>677</v>
      </c>
      <c r="AJ195" s="256">
        <v>390</v>
      </c>
      <c r="AK195" s="126"/>
      <c r="AL195" s="123">
        <f t="shared" si="30"/>
        <v>94760000</v>
      </c>
      <c r="AM195" s="123">
        <v>17029334</v>
      </c>
      <c r="AN195" s="123">
        <f t="shared" si="29"/>
        <v>77730666</v>
      </c>
      <c r="AO195" s="125" t="s">
        <v>435</v>
      </c>
      <c r="AP195" s="128"/>
      <c r="AQ195" s="128"/>
      <c r="AR195" s="128"/>
      <c r="AS195" s="128"/>
      <c r="AT195" s="128"/>
    </row>
    <row r="196" spans="1:46" ht="77.25" x14ac:dyDescent="0.25">
      <c r="A196" s="114">
        <v>66</v>
      </c>
      <c r="B196" s="114" t="s">
        <v>678</v>
      </c>
      <c r="C196" s="98" t="s">
        <v>424</v>
      </c>
      <c r="D196" s="18" t="s">
        <v>425</v>
      </c>
      <c r="E196" s="114" t="s">
        <v>453</v>
      </c>
      <c r="F196" s="18" t="s">
        <v>53</v>
      </c>
      <c r="G196" s="18" t="s">
        <v>54</v>
      </c>
      <c r="H196" s="99" t="s">
        <v>427</v>
      </c>
      <c r="I196" s="18" t="s">
        <v>56</v>
      </c>
      <c r="J196" s="18" t="s">
        <v>57</v>
      </c>
      <c r="K196" s="76">
        <v>801116</v>
      </c>
      <c r="L196" s="76" t="s">
        <v>428</v>
      </c>
      <c r="M196" s="114" t="s">
        <v>59</v>
      </c>
      <c r="N196" s="114" t="s">
        <v>60</v>
      </c>
      <c r="O196" s="77" t="s">
        <v>429</v>
      </c>
      <c r="P196" s="114" t="s">
        <v>679</v>
      </c>
      <c r="Q196" s="115">
        <v>2472000</v>
      </c>
      <c r="R196" s="116">
        <v>1</v>
      </c>
      <c r="S196" s="115">
        <f t="shared" ref="S196:S219" si="31">+Q196*R196*W196</f>
        <v>28428000</v>
      </c>
      <c r="T196" s="255" t="s">
        <v>533</v>
      </c>
      <c r="U196" s="255" t="s">
        <v>432</v>
      </c>
      <c r="V196" s="119" t="s">
        <v>308</v>
      </c>
      <c r="W196" s="255">
        <v>11.5</v>
      </c>
      <c r="X196" s="256" t="s">
        <v>680</v>
      </c>
      <c r="Y196" s="120">
        <v>43104</v>
      </c>
      <c r="Z196" s="121">
        <f t="shared" ref="Z196:Z236" si="32">S196</f>
        <v>28428000</v>
      </c>
      <c r="AA196" s="256"/>
      <c r="AB196" s="256">
        <v>309</v>
      </c>
      <c r="AC196" s="122">
        <v>43109</v>
      </c>
      <c r="AD196" s="115">
        <v>28428000</v>
      </c>
      <c r="AE196" s="129">
        <f t="shared" si="26"/>
        <v>0</v>
      </c>
      <c r="AF196" s="124">
        <v>491</v>
      </c>
      <c r="AG196" s="122">
        <v>43126</v>
      </c>
      <c r="AH196" s="123">
        <f t="shared" si="27"/>
        <v>28428000</v>
      </c>
      <c r="AI196" s="125" t="s">
        <v>681</v>
      </c>
      <c r="AJ196" s="256">
        <v>422</v>
      </c>
      <c r="AK196" s="126"/>
      <c r="AL196" s="123">
        <f t="shared" si="30"/>
        <v>28428000</v>
      </c>
      <c r="AM196" s="123">
        <v>4944000</v>
      </c>
      <c r="AN196" s="123">
        <f t="shared" si="29"/>
        <v>23484000</v>
      </c>
      <c r="AO196" s="125" t="s">
        <v>435</v>
      </c>
      <c r="AP196" s="128"/>
      <c r="AQ196" s="128"/>
      <c r="AR196" s="128"/>
      <c r="AS196" s="128"/>
      <c r="AT196" s="128"/>
    </row>
    <row r="197" spans="1:46" ht="102.75" x14ac:dyDescent="0.25">
      <c r="A197" s="114">
        <v>67</v>
      </c>
      <c r="B197" s="114" t="s">
        <v>682</v>
      </c>
      <c r="C197" s="98" t="s">
        <v>424</v>
      </c>
      <c r="D197" s="18" t="s">
        <v>425</v>
      </c>
      <c r="E197" s="114" t="s">
        <v>453</v>
      </c>
      <c r="F197" s="18" t="s">
        <v>53</v>
      </c>
      <c r="G197" s="18" t="s">
        <v>54</v>
      </c>
      <c r="H197" s="99" t="s">
        <v>427</v>
      </c>
      <c r="I197" s="18" t="s">
        <v>56</v>
      </c>
      <c r="J197" s="18" t="s">
        <v>57</v>
      </c>
      <c r="K197" s="76">
        <v>801116</v>
      </c>
      <c r="L197" s="76" t="s">
        <v>428</v>
      </c>
      <c r="M197" s="114" t="s">
        <v>59</v>
      </c>
      <c r="N197" s="114" t="s">
        <v>60</v>
      </c>
      <c r="O197" s="77" t="s">
        <v>429</v>
      </c>
      <c r="P197" s="114" t="s">
        <v>683</v>
      </c>
      <c r="Q197" s="115">
        <v>6695000</v>
      </c>
      <c r="R197" s="116">
        <v>1</v>
      </c>
      <c r="S197" s="115">
        <f t="shared" si="31"/>
        <v>76992500</v>
      </c>
      <c r="T197" s="255" t="s">
        <v>533</v>
      </c>
      <c r="U197" s="255" t="s">
        <v>432</v>
      </c>
      <c r="V197" s="119" t="s">
        <v>308</v>
      </c>
      <c r="W197" s="255">
        <v>11.5</v>
      </c>
      <c r="X197" s="256" t="s">
        <v>684</v>
      </c>
      <c r="Y197" s="120">
        <v>43104</v>
      </c>
      <c r="Z197" s="121">
        <f t="shared" si="32"/>
        <v>76992500</v>
      </c>
      <c r="AA197" s="256"/>
      <c r="AB197" s="256">
        <v>259</v>
      </c>
      <c r="AC197" s="122">
        <v>43105</v>
      </c>
      <c r="AD197" s="115">
        <v>76992500</v>
      </c>
      <c r="AE197" s="129">
        <f t="shared" si="26"/>
        <v>0</v>
      </c>
      <c r="AF197" s="124">
        <v>492</v>
      </c>
      <c r="AG197" s="122">
        <v>43126</v>
      </c>
      <c r="AH197" s="123">
        <f t="shared" si="27"/>
        <v>76992500</v>
      </c>
      <c r="AI197" s="125" t="s">
        <v>685</v>
      </c>
      <c r="AJ197" s="256">
        <v>417</v>
      </c>
      <c r="AK197" s="126"/>
      <c r="AL197" s="123">
        <f t="shared" si="30"/>
        <v>76992500</v>
      </c>
      <c r="AM197" s="123">
        <v>13836333</v>
      </c>
      <c r="AN197" s="123">
        <f t="shared" si="29"/>
        <v>63156167</v>
      </c>
      <c r="AO197" s="125" t="s">
        <v>435</v>
      </c>
      <c r="AP197" s="128"/>
      <c r="AQ197" s="128"/>
      <c r="AR197" s="128"/>
      <c r="AS197" s="128"/>
      <c r="AT197" s="128"/>
    </row>
    <row r="198" spans="1:46" ht="77.25" x14ac:dyDescent="0.25">
      <c r="A198" s="114">
        <v>68</v>
      </c>
      <c r="B198" s="114" t="s">
        <v>686</v>
      </c>
      <c r="C198" s="98" t="s">
        <v>424</v>
      </c>
      <c r="D198" s="18" t="s">
        <v>425</v>
      </c>
      <c r="E198" s="114" t="s">
        <v>453</v>
      </c>
      <c r="F198" s="18" t="s">
        <v>53</v>
      </c>
      <c r="G198" s="18" t="s">
        <v>54</v>
      </c>
      <c r="H198" s="99" t="s">
        <v>427</v>
      </c>
      <c r="I198" s="18" t="s">
        <v>56</v>
      </c>
      <c r="J198" s="18" t="s">
        <v>57</v>
      </c>
      <c r="K198" s="76">
        <v>801116</v>
      </c>
      <c r="L198" s="76" t="s">
        <v>428</v>
      </c>
      <c r="M198" s="114" t="s">
        <v>59</v>
      </c>
      <c r="N198" s="114" t="s">
        <v>60</v>
      </c>
      <c r="O198" s="77" t="s">
        <v>429</v>
      </c>
      <c r="P198" s="114" t="s">
        <v>687</v>
      </c>
      <c r="Q198" s="115">
        <v>2060000</v>
      </c>
      <c r="R198" s="116">
        <v>1</v>
      </c>
      <c r="S198" s="115">
        <f t="shared" si="31"/>
        <v>23690000</v>
      </c>
      <c r="T198" s="255" t="s">
        <v>533</v>
      </c>
      <c r="U198" s="255" t="s">
        <v>432</v>
      </c>
      <c r="V198" s="119" t="s">
        <v>308</v>
      </c>
      <c r="W198" s="255">
        <v>11.5</v>
      </c>
      <c r="X198" s="256" t="s">
        <v>688</v>
      </c>
      <c r="Y198" s="120">
        <v>43104</v>
      </c>
      <c r="Z198" s="121">
        <f t="shared" si="32"/>
        <v>23690000</v>
      </c>
      <c r="AA198" s="256"/>
      <c r="AB198" s="256">
        <v>260</v>
      </c>
      <c r="AC198" s="122">
        <v>43105</v>
      </c>
      <c r="AD198" s="115">
        <v>23690000</v>
      </c>
      <c r="AE198" s="129">
        <f t="shared" si="26"/>
        <v>0</v>
      </c>
      <c r="AF198" s="124">
        <v>149</v>
      </c>
      <c r="AG198" s="122">
        <v>43117</v>
      </c>
      <c r="AH198" s="123">
        <f t="shared" si="27"/>
        <v>23690000</v>
      </c>
      <c r="AI198" s="125" t="s">
        <v>405</v>
      </c>
      <c r="AJ198" s="256">
        <v>155</v>
      </c>
      <c r="AK198" s="126"/>
      <c r="AL198" s="123">
        <f t="shared" si="30"/>
        <v>23690000</v>
      </c>
      <c r="AM198" s="123">
        <v>5012666</v>
      </c>
      <c r="AN198" s="123">
        <f t="shared" si="29"/>
        <v>18677334</v>
      </c>
      <c r="AO198" s="125" t="s">
        <v>435</v>
      </c>
      <c r="AP198" s="128"/>
      <c r="AQ198" s="128"/>
      <c r="AR198" s="128"/>
      <c r="AS198" s="128"/>
      <c r="AT198" s="128"/>
    </row>
    <row r="199" spans="1:46" ht="77.25" x14ac:dyDescent="0.25">
      <c r="A199" s="114">
        <v>69</v>
      </c>
      <c r="B199" s="114" t="s">
        <v>689</v>
      </c>
      <c r="C199" s="98" t="s">
        <v>424</v>
      </c>
      <c r="D199" s="18" t="s">
        <v>425</v>
      </c>
      <c r="E199" s="114" t="s">
        <v>426</v>
      </c>
      <c r="F199" s="18" t="s">
        <v>53</v>
      </c>
      <c r="G199" s="18" t="s">
        <v>54</v>
      </c>
      <c r="H199" s="99" t="s">
        <v>427</v>
      </c>
      <c r="I199" s="18" t="s">
        <v>56</v>
      </c>
      <c r="J199" s="18" t="s">
        <v>57</v>
      </c>
      <c r="K199" s="76">
        <v>801116</v>
      </c>
      <c r="L199" s="76" t="s">
        <v>428</v>
      </c>
      <c r="M199" s="114" t="s">
        <v>59</v>
      </c>
      <c r="N199" s="114" t="s">
        <v>60</v>
      </c>
      <c r="O199" s="77" t="s">
        <v>429</v>
      </c>
      <c r="P199" s="114" t="s">
        <v>690</v>
      </c>
      <c r="Q199" s="115">
        <v>4532000</v>
      </c>
      <c r="R199" s="116">
        <v>1</v>
      </c>
      <c r="S199" s="117">
        <f t="shared" si="31"/>
        <v>52118000</v>
      </c>
      <c r="T199" s="255" t="s">
        <v>533</v>
      </c>
      <c r="U199" s="255" t="s">
        <v>432</v>
      </c>
      <c r="V199" s="119" t="s">
        <v>308</v>
      </c>
      <c r="W199" s="255">
        <v>11.5</v>
      </c>
      <c r="X199" s="256" t="s">
        <v>691</v>
      </c>
      <c r="Y199" s="120">
        <v>43104</v>
      </c>
      <c r="Z199" s="121">
        <f t="shared" si="32"/>
        <v>52118000</v>
      </c>
      <c r="AA199" s="256"/>
      <c r="AB199" s="256">
        <v>261</v>
      </c>
      <c r="AC199" s="122">
        <v>43109</v>
      </c>
      <c r="AD199" s="115">
        <v>52118000</v>
      </c>
      <c r="AE199" s="129">
        <f t="shared" si="26"/>
        <v>0</v>
      </c>
      <c r="AF199" s="124">
        <v>354</v>
      </c>
      <c r="AG199" s="122">
        <v>43123</v>
      </c>
      <c r="AH199" s="123">
        <f t="shared" si="27"/>
        <v>52118000</v>
      </c>
      <c r="AI199" s="125" t="s">
        <v>692</v>
      </c>
      <c r="AJ199" s="256">
        <v>299</v>
      </c>
      <c r="AK199" s="126"/>
      <c r="AL199" s="123">
        <f t="shared" si="30"/>
        <v>52118000</v>
      </c>
      <c r="AM199" s="123">
        <v>9970400</v>
      </c>
      <c r="AN199" s="123">
        <f t="shared" si="29"/>
        <v>42147600</v>
      </c>
      <c r="AO199" s="125" t="s">
        <v>435</v>
      </c>
      <c r="AP199" s="128"/>
      <c r="AQ199" s="128"/>
      <c r="AR199" s="128"/>
      <c r="AS199" s="128"/>
      <c r="AT199" s="128"/>
    </row>
    <row r="200" spans="1:46" ht="102.75" x14ac:dyDescent="0.25">
      <c r="A200" s="114">
        <v>70</v>
      </c>
      <c r="B200" s="114" t="s">
        <v>693</v>
      </c>
      <c r="C200" s="98" t="s">
        <v>424</v>
      </c>
      <c r="D200" s="18" t="s">
        <v>425</v>
      </c>
      <c r="E200" s="114" t="s">
        <v>453</v>
      </c>
      <c r="F200" s="18" t="s">
        <v>53</v>
      </c>
      <c r="G200" s="18" t="s">
        <v>54</v>
      </c>
      <c r="H200" s="99" t="s">
        <v>427</v>
      </c>
      <c r="I200" s="18" t="s">
        <v>56</v>
      </c>
      <c r="J200" s="18" t="s">
        <v>57</v>
      </c>
      <c r="K200" s="76">
        <v>801116</v>
      </c>
      <c r="L200" s="76" t="s">
        <v>428</v>
      </c>
      <c r="M200" s="114" t="s">
        <v>59</v>
      </c>
      <c r="N200" s="114" t="s">
        <v>60</v>
      </c>
      <c r="O200" s="77" t="s">
        <v>429</v>
      </c>
      <c r="P200" s="114" t="s">
        <v>694</v>
      </c>
      <c r="Q200" s="115">
        <v>6180000</v>
      </c>
      <c r="R200" s="116">
        <v>1</v>
      </c>
      <c r="S200" s="115">
        <f t="shared" si="31"/>
        <v>71070000</v>
      </c>
      <c r="T200" s="255" t="s">
        <v>533</v>
      </c>
      <c r="U200" s="255" t="s">
        <v>432</v>
      </c>
      <c r="V200" s="119" t="s">
        <v>308</v>
      </c>
      <c r="W200" s="255">
        <v>11.5</v>
      </c>
      <c r="X200" s="256" t="s">
        <v>695</v>
      </c>
      <c r="Y200" s="120">
        <v>43104</v>
      </c>
      <c r="Z200" s="121">
        <f t="shared" si="32"/>
        <v>71070000</v>
      </c>
      <c r="AA200" s="256"/>
      <c r="AB200" s="256">
        <v>262</v>
      </c>
      <c r="AC200" s="122">
        <v>43109</v>
      </c>
      <c r="AD200" s="115">
        <v>71070000</v>
      </c>
      <c r="AE200" s="129">
        <f t="shared" si="26"/>
        <v>0</v>
      </c>
      <c r="AF200" s="124">
        <v>252</v>
      </c>
      <c r="AG200" s="122">
        <v>43119</v>
      </c>
      <c r="AH200" s="123">
        <f t="shared" si="27"/>
        <v>71070000</v>
      </c>
      <c r="AI200" s="125" t="s">
        <v>696</v>
      </c>
      <c r="AJ200" s="256">
        <v>203</v>
      </c>
      <c r="AK200" s="126"/>
      <c r="AL200" s="123">
        <f t="shared" si="30"/>
        <v>71070000</v>
      </c>
      <c r="AM200" s="123">
        <v>14832000</v>
      </c>
      <c r="AN200" s="123">
        <f t="shared" si="29"/>
        <v>56238000</v>
      </c>
      <c r="AO200" s="125" t="s">
        <v>435</v>
      </c>
      <c r="AP200" s="128"/>
      <c r="AQ200" s="128"/>
      <c r="AR200" s="128"/>
      <c r="AS200" s="128"/>
      <c r="AT200" s="128"/>
    </row>
    <row r="201" spans="1:46" ht="90" x14ac:dyDescent="0.25">
      <c r="A201" s="114">
        <v>71</v>
      </c>
      <c r="B201" s="114" t="s">
        <v>697</v>
      </c>
      <c r="C201" s="98" t="s">
        <v>424</v>
      </c>
      <c r="D201" s="18" t="s">
        <v>425</v>
      </c>
      <c r="E201" s="114" t="s">
        <v>453</v>
      </c>
      <c r="F201" s="18" t="s">
        <v>53</v>
      </c>
      <c r="G201" s="18" t="s">
        <v>54</v>
      </c>
      <c r="H201" s="99" t="s">
        <v>427</v>
      </c>
      <c r="I201" s="18" t="s">
        <v>56</v>
      </c>
      <c r="J201" s="18" t="s">
        <v>57</v>
      </c>
      <c r="K201" s="76">
        <v>801116</v>
      </c>
      <c r="L201" s="76" t="s">
        <v>428</v>
      </c>
      <c r="M201" s="114" t="s">
        <v>59</v>
      </c>
      <c r="N201" s="114" t="s">
        <v>60</v>
      </c>
      <c r="O201" s="77" t="s">
        <v>429</v>
      </c>
      <c r="P201" s="114" t="s">
        <v>698</v>
      </c>
      <c r="Q201" s="115">
        <v>5036700</v>
      </c>
      <c r="R201" s="116">
        <v>1</v>
      </c>
      <c r="S201" s="115">
        <f t="shared" si="31"/>
        <v>57922050</v>
      </c>
      <c r="T201" s="255" t="s">
        <v>533</v>
      </c>
      <c r="U201" s="255" t="s">
        <v>432</v>
      </c>
      <c r="V201" s="119" t="s">
        <v>308</v>
      </c>
      <c r="W201" s="255">
        <v>11.5</v>
      </c>
      <c r="X201" s="256" t="s">
        <v>699</v>
      </c>
      <c r="Y201" s="120">
        <v>43104</v>
      </c>
      <c r="Z201" s="121">
        <f t="shared" si="32"/>
        <v>57922050</v>
      </c>
      <c r="AA201" s="256"/>
      <c r="AB201" s="256">
        <v>263</v>
      </c>
      <c r="AC201" s="122">
        <v>43109</v>
      </c>
      <c r="AD201" s="115">
        <v>57922050</v>
      </c>
      <c r="AE201" s="129">
        <f t="shared" si="26"/>
        <v>0</v>
      </c>
      <c r="AF201" s="124">
        <v>273</v>
      </c>
      <c r="AG201" s="122">
        <v>43122</v>
      </c>
      <c r="AH201" s="123">
        <f t="shared" si="27"/>
        <v>57922050</v>
      </c>
      <c r="AI201" s="125" t="s">
        <v>700</v>
      </c>
      <c r="AJ201" s="256">
        <v>243</v>
      </c>
      <c r="AK201" s="126"/>
      <c r="AL201" s="123">
        <f t="shared" si="30"/>
        <v>57922050</v>
      </c>
      <c r="AM201" s="123">
        <v>11584410</v>
      </c>
      <c r="AN201" s="123">
        <f t="shared" si="29"/>
        <v>46337640</v>
      </c>
      <c r="AO201" s="125" t="s">
        <v>435</v>
      </c>
      <c r="AP201" s="128"/>
      <c r="AQ201" s="128"/>
      <c r="AR201" s="128"/>
      <c r="AS201" s="128"/>
      <c r="AT201" s="128"/>
    </row>
    <row r="202" spans="1:46" ht="115.5" x14ac:dyDescent="0.25">
      <c r="A202" s="114">
        <v>72</v>
      </c>
      <c r="B202" s="114" t="s">
        <v>701</v>
      </c>
      <c r="C202" s="98" t="s">
        <v>424</v>
      </c>
      <c r="D202" s="18" t="s">
        <v>425</v>
      </c>
      <c r="E202" s="114" t="s">
        <v>453</v>
      </c>
      <c r="F202" s="18" t="s">
        <v>53</v>
      </c>
      <c r="G202" s="18" t="s">
        <v>54</v>
      </c>
      <c r="H202" s="99" t="s">
        <v>427</v>
      </c>
      <c r="I202" s="18" t="s">
        <v>56</v>
      </c>
      <c r="J202" s="18" t="s">
        <v>57</v>
      </c>
      <c r="K202" s="76">
        <v>801116</v>
      </c>
      <c r="L202" s="76" t="s">
        <v>428</v>
      </c>
      <c r="M202" s="114" t="s">
        <v>59</v>
      </c>
      <c r="N202" s="114" t="s">
        <v>60</v>
      </c>
      <c r="O202" s="77" t="s">
        <v>429</v>
      </c>
      <c r="P202" s="114" t="s">
        <v>702</v>
      </c>
      <c r="Q202" s="115">
        <v>2472000</v>
      </c>
      <c r="R202" s="116">
        <v>1</v>
      </c>
      <c r="S202" s="115">
        <f t="shared" si="31"/>
        <v>28428000</v>
      </c>
      <c r="T202" s="255" t="s">
        <v>533</v>
      </c>
      <c r="U202" s="255" t="s">
        <v>432</v>
      </c>
      <c r="V202" s="119" t="s">
        <v>308</v>
      </c>
      <c r="W202" s="255">
        <v>11.5</v>
      </c>
      <c r="X202" s="256" t="s">
        <v>703</v>
      </c>
      <c r="Y202" s="120">
        <v>43104</v>
      </c>
      <c r="Z202" s="121">
        <f t="shared" si="32"/>
        <v>28428000</v>
      </c>
      <c r="AA202" s="256"/>
      <c r="AB202" s="256">
        <v>264</v>
      </c>
      <c r="AC202" s="122">
        <v>43109</v>
      </c>
      <c r="AD202" s="115">
        <v>28428000</v>
      </c>
      <c r="AE202" s="129">
        <f t="shared" si="26"/>
        <v>0</v>
      </c>
      <c r="AF202" s="124">
        <v>161</v>
      </c>
      <c r="AG202" s="122">
        <v>43118</v>
      </c>
      <c r="AH202" s="123">
        <f t="shared" si="27"/>
        <v>28428000</v>
      </c>
      <c r="AI202" s="125" t="s">
        <v>704</v>
      </c>
      <c r="AJ202" s="256">
        <v>125</v>
      </c>
      <c r="AK202" s="126"/>
      <c r="AL202" s="123">
        <f t="shared" si="30"/>
        <v>28428000</v>
      </c>
      <c r="AM202" s="123">
        <v>6015200</v>
      </c>
      <c r="AN202" s="123">
        <f t="shared" si="29"/>
        <v>22412800</v>
      </c>
      <c r="AO202" s="125" t="s">
        <v>435</v>
      </c>
      <c r="AP202" s="128"/>
      <c r="AQ202" s="128"/>
      <c r="AR202" s="128"/>
      <c r="AS202" s="128"/>
      <c r="AT202" s="128"/>
    </row>
    <row r="203" spans="1:46" ht="102.75" x14ac:dyDescent="0.25">
      <c r="A203" s="114">
        <v>73</v>
      </c>
      <c r="B203" s="114" t="s">
        <v>705</v>
      </c>
      <c r="C203" s="98" t="s">
        <v>424</v>
      </c>
      <c r="D203" s="18" t="s">
        <v>425</v>
      </c>
      <c r="E203" s="114" t="s">
        <v>453</v>
      </c>
      <c r="F203" s="18" t="s">
        <v>53</v>
      </c>
      <c r="G203" s="18" t="s">
        <v>54</v>
      </c>
      <c r="H203" s="99" t="s">
        <v>427</v>
      </c>
      <c r="I203" s="18" t="s">
        <v>56</v>
      </c>
      <c r="J203" s="18" t="s">
        <v>57</v>
      </c>
      <c r="K203" s="76">
        <v>801116</v>
      </c>
      <c r="L203" s="76" t="s">
        <v>428</v>
      </c>
      <c r="M203" s="114" t="s">
        <v>59</v>
      </c>
      <c r="N203" s="114" t="s">
        <v>60</v>
      </c>
      <c r="O203" s="77" t="s">
        <v>429</v>
      </c>
      <c r="P203" s="114" t="s">
        <v>395</v>
      </c>
      <c r="Q203" s="115">
        <v>1259176</v>
      </c>
      <c r="R203" s="116">
        <v>1</v>
      </c>
      <c r="S203" s="115">
        <f t="shared" si="31"/>
        <v>14480524</v>
      </c>
      <c r="T203" s="255" t="s">
        <v>533</v>
      </c>
      <c r="U203" s="255" t="s">
        <v>432</v>
      </c>
      <c r="V203" s="119" t="s">
        <v>308</v>
      </c>
      <c r="W203" s="255">
        <v>11.5</v>
      </c>
      <c r="X203" s="256" t="s">
        <v>706</v>
      </c>
      <c r="Y203" s="120">
        <v>43104</v>
      </c>
      <c r="Z203" s="121">
        <f t="shared" si="32"/>
        <v>14480524</v>
      </c>
      <c r="AA203" s="256"/>
      <c r="AB203" s="256">
        <v>265</v>
      </c>
      <c r="AC203" s="122">
        <v>43109</v>
      </c>
      <c r="AD203" s="115">
        <v>14480524</v>
      </c>
      <c r="AE203" s="129">
        <f t="shared" si="26"/>
        <v>629599</v>
      </c>
      <c r="AF203" s="124">
        <v>178</v>
      </c>
      <c r="AG203" s="122">
        <v>43118</v>
      </c>
      <c r="AH203" s="115">
        <v>13850925</v>
      </c>
      <c r="AI203" s="125" t="s">
        <v>396</v>
      </c>
      <c r="AJ203" s="256">
        <v>160</v>
      </c>
      <c r="AK203" s="126"/>
      <c r="AL203" s="123">
        <f t="shared" si="30"/>
        <v>13850925</v>
      </c>
      <c r="AM203" s="123">
        <v>3063992</v>
      </c>
      <c r="AN203" s="123">
        <f t="shared" si="29"/>
        <v>10786933</v>
      </c>
      <c r="AO203" s="125" t="s">
        <v>435</v>
      </c>
      <c r="AP203" s="128"/>
      <c r="AQ203" s="128"/>
      <c r="AR203" s="128"/>
      <c r="AS203" s="128"/>
      <c r="AT203" s="128"/>
    </row>
    <row r="204" spans="1:46" ht="90" x14ac:dyDescent="0.25">
      <c r="A204" s="114">
        <v>74</v>
      </c>
      <c r="B204" s="114" t="s">
        <v>707</v>
      </c>
      <c r="C204" s="98" t="s">
        <v>424</v>
      </c>
      <c r="D204" s="18" t="s">
        <v>425</v>
      </c>
      <c r="E204" s="114" t="s">
        <v>453</v>
      </c>
      <c r="F204" s="18" t="s">
        <v>53</v>
      </c>
      <c r="G204" s="18" t="s">
        <v>54</v>
      </c>
      <c r="H204" s="99" t="s">
        <v>427</v>
      </c>
      <c r="I204" s="18" t="s">
        <v>56</v>
      </c>
      <c r="J204" s="18" t="s">
        <v>57</v>
      </c>
      <c r="K204" s="76">
        <v>801116</v>
      </c>
      <c r="L204" s="76" t="s">
        <v>428</v>
      </c>
      <c r="M204" s="114" t="s">
        <v>59</v>
      </c>
      <c r="N204" s="114" t="s">
        <v>60</v>
      </c>
      <c r="O204" s="77" t="s">
        <v>429</v>
      </c>
      <c r="P204" s="114" t="s">
        <v>708</v>
      </c>
      <c r="Q204" s="115">
        <v>1030000</v>
      </c>
      <c r="R204" s="116">
        <v>1</v>
      </c>
      <c r="S204" s="115">
        <f t="shared" si="31"/>
        <v>11845000</v>
      </c>
      <c r="T204" s="255" t="s">
        <v>533</v>
      </c>
      <c r="U204" s="255" t="s">
        <v>432</v>
      </c>
      <c r="V204" s="119" t="s">
        <v>308</v>
      </c>
      <c r="W204" s="255">
        <v>11.5</v>
      </c>
      <c r="X204" s="256" t="s">
        <v>709</v>
      </c>
      <c r="Y204" s="120">
        <v>43104</v>
      </c>
      <c r="Z204" s="121">
        <f t="shared" si="32"/>
        <v>11845000</v>
      </c>
      <c r="AA204" s="256"/>
      <c r="AB204" s="256">
        <v>266</v>
      </c>
      <c r="AC204" s="122">
        <v>43109</v>
      </c>
      <c r="AD204" s="115">
        <v>11845000</v>
      </c>
      <c r="AE204" s="129">
        <f t="shared" si="26"/>
        <v>515000</v>
      </c>
      <c r="AF204" s="124">
        <v>370</v>
      </c>
      <c r="AG204" s="122">
        <v>43124</v>
      </c>
      <c r="AH204" s="115">
        <v>11330000</v>
      </c>
      <c r="AI204" s="125" t="s">
        <v>399</v>
      </c>
      <c r="AJ204" s="256">
        <v>304</v>
      </c>
      <c r="AK204" s="126"/>
      <c r="AL204" s="123">
        <f t="shared" si="30"/>
        <v>11330000</v>
      </c>
      <c r="AM204" s="123">
        <v>2300333</v>
      </c>
      <c r="AN204" s="123">
        <f t="shared" si="29"/>
        <v>9029667</v>
      </c>
      <c r="AO204" s="125" t="s">
        <v>435</v>
      </c>
      <c r="AP204" s="128"/>
      <c r="AQ204" s="128"/>
      <c r="AR204" s="128"/>
      <c r="AS204" s="128"/>
      <c r="AT204" s="128"/>
    </row>
    <row r="205" spans="1:46" ht="141" x14ac:dyDescent="0.25">
      <c r="A205" s="114">
        <v>75</v>
      </c>
      <c r="B205" s="114" t="s">
        <v>710</v>
      </c>
      <c r="C205" s="98" t="s">
        <v>424</v>
      </c>
      <c r="D205" s="18" t="s">
        <v>425</v>
      </c>
      <c r="E205" s="114" t="s">
        <v>453</v>
      </c>
      <c r="F205" s="18" t="s">
        <v>53</v>
      </c>
      <c r="G205" s="18" t="s">
        <v>54</v>
      </c>
      <c r="H205" s="99" t="s">
        <v>427</v>
      </c>
      <c r="I205" s="18" t="s">
        <v>56</v>
      </c>
      <c r="J205" s="18" t="s">
        <v>57</v>
      </c>
      <c r="K205" s="76">
        <v>801116</v>
      </c>
      <c r="L205" s="76" t="s">
        <v>428</v>
      </c>
      <c r="M205" s="114" t="s">
        <v>59</v>
      </c>
      <c r="N205" s="114" t="s">
        <v>60</v>
      </c>
      <c r="O205" s="77" t="s">
        <v>429</v>
      </c>
      <c r="P205" s="114" t="s">
        <v>506</v>
      </c>
      <c r="Q205" s="115">
        <v>5253000</v>
      </c>
      <c r="R205" s="116">
        <v>1</v>
      </c>
      <c r="S205" s="115">
        <f t="shared" si="31"/>
        <v>60409500</v>
      </c>
      <c r="T205" s="255" t="s">
        <v>533</v>
      </c>
      <c r="U205" s="255" t="s">
        <v>432</v>
      </c>
      <c r="V205" s="119" t="s">
        <v>308</v>
      </c>
      <c r="W205" s="255">
        <v>11.5</v>
      </c>
      <c r="X205" s="256" t="s">
        <v>711</v>
      </c>
      <c r="Y205" s="120">
        <v>43104</v>
      </c>
      <c r="Z205" s="121">
        <f t="shared" si="32"/>
        <v>60409500</v>
      </c>
      <c r="AA205" s="256"/>
      <c r="AB205" s="256">
        <v>267</v>
      </c>
      <c r="AC205" s="122">
        <v>43109</v>
      </c>
      <c r="AD205" s="115">
        <v>60409500</v>
      </c>
      <c r="AE205" s="129">
        <f t="shared" si="26"/>
        <v>0</v>
      </c>
      <c r="AF205" s="124">
        <v>352</v>
      </c>
      <c r="AG205" s="122">
        <v>43123</v>
      </c>
      <c r="AH205" s="123">
        <f>AD205</f>
        <v>60409500</v>
      </c>
      <c r="AI205" s="125" t="s">
        <v>712</v>
      </c>
      <c r="AJ205" s="256">
        <v>298</v>
      </c>
      <c r="AK205" s="126"/>
      <c r="AL205" s="123">
        <f t="shared" si="30"/>
        <v>60409500</v>
      </c>
      <c r="AM205" s="123">
        <v>11556600</v>
      </c>
      <c r="AN205" s="123">
        <f t="shared" si="29"/>
        <v>48852900</v>
      </c>
      <c r="AO205" s="125" t="s">
        <v>435</v>
      </c>
      <c r="AP205" s="128"/>
      <c r="AQ205" s="128"/>
      <c r="AR205" s="128"/>
      <c r="AS205" s="128"/>
      <c r="AT205" s="128"/>
    </row>
    <row r="206" spans="1:46" ht="77.25" x14ac:dyDescent="0.25">
      <c r="A206" s="114">
        <v>76</v>
      </c>
      <c r="B206" s="114" t="s">
        <v>713</v>
      </c>
      <c r="C206" s="98" t="s">
        <v>424</v>
      </c>
      <c r="D206" s="18" t="s">
        <v>425</v>
      </c>
      <c r="E206" s="114" t="s">
        <v>453</v>
      </c>
      <c r="F206" s="18" t="s">
        <v>53</v>
      </c>
      <c r="G206" s="18" t="s">
        <v>54</v>
      </c>
      <c r="H206" s="99" t="s">
        <v>427</v>
      </c>
      <c r="I206" s="18" t="s">
        <v>56</v>
      </c>
      <c r="J206" s="18" t="s">
        <v>57</v>
      </c>
      <c r="K206" s="76">
        <v>801116</v>
      </c>
      <c r="L206" s="76" t="s">
        <v>428</v>
      </c>
      <c r="M206" s="114" t="s">
        <v>59</v>
      </c>
      <c r="N206" s="114" t="s">
        <v>60</v>
      </c>
      <c r="O206" s="77" t="s">
        <v>429</v>
      </c>
      <c r="P206" s="114" t="s">
        <v>714</v>
      </c>
      <c r="Q206" s="115">
        <v>3326900</v>
      </c>
      <c r="R206" s="116">
        <v>1</v>
      </c>
      <c r="S206" s="115">
        <f t="shared" si="31"/>
        <v>38259350</v>
      </c>
      <c r="T206" s="255" t="s">
        <v>533</v>
      </c>
      <c r="U206" s="255" t="s">
        <v>432</v>
      </c>
      <c r="V206" s="119" t="s">
        <v>308</v>
      </c>
      <c r="W206" s="255">
        <v>11.5</v>
      </c>
      <c r="X206" s="256" t="s">
        <v>715</v>
      </c>
      <c r="Y206" s="120">
        <v>43104</v>
      </c>
      <c r="Z206" s="121">
        <f t="shared" si="32"/>
        <v>38259350</v>
      </c>
      <c r="AA206" s="256"/>
      <c r="AB206" s="256">
        <v>268</v>
      </c>
      <c r="AC206" s="122">
        <v>43109</v>
      </c>
      <c r="AD206" s="115">
        <v>38259350</v>
      </c>
      <c r="AE206" s="129">
        <f t="shared" si="26"/>
        <v>0</v>
      </c>
      <c r="AF206" s="124">
        <v>140</v>
      </c>
      <c r="AG206" s="122">
        <v>43117</v>
      </c>
      <c r="AH206" s="123">
        <f>AD206</f>
        <v>38259350</v>
      </c>
      <c r="AI206" s="125" t="s">
        <v>716</v>
      </c>
      <c r="AJ206" s="256">
        <v>150</v>
      </c>
      <c r="AK206" s="126"/>
      <c r="AL206" s="123">
        <f t="shared" si="30"/>
        <v>38259350</v>
      </c>
      <c r="AM206" s="123">
        <v>8095457</v>
      </c>
      <c r="AN206" s="123">
        <f t="shared" si="29"/>
        <v>30163893</v>
      </c>
      <c r="AO206" s="125" t="s">
        <v>435</v>
      </c>
      <c r="AP206" s="128"/>
      <c r="AQ206" s="128"/>
      <c r="AR206" s="128"/>
      <c r="AS206" s="128"/>
      <c r="AT206" s="128"/>
    </row>
    <row r="207" spans="1:46" ht="90" x14ac:dyDescent="0.25">
      <c r="A207" s="114">
        <v>77</v>
      </c>
      <c r="B207" s="114" t="s">
        <v>717</v>
      </c>
      <c r="C207" s="98" t="s">
        <v>424</v>
      </c>
      <c r="D207" s="18" t="s">
        <v>425</v>
      </c>
      <c r="E207" s="114" t="s">
        <v>453</v>
      </c>
      <c r="F207" s="18" t="s">
        <v>53</v>
      </c>
      <c r="G207" s="18" t="s">
        <v>54</v>
      </c>
      <c r="H207" s="99" t="s">
        <v>427</v>
      </c>
      <c r="I207" s="18" t="s">
        <v>56</v>
      </c>
      <c r="J207" s="18" t="s">
        <v>57</v>
      </c>
      <c r="K207" s="76">
        <v>801116</v>
      </c>
      <c r="L207" s="76" t="s">
        <v>428</v>
      </c>
      <c r="M207" s="114" t="s">
        <v>59</v>
      </c>
      <c r="N207" s="114" t="s">
        <v>60</v>
      </c>
      <c r="O207" s="77" t="s">
        <v>429</v>
      </c>
      <c r="P207" s="114" t="s">
        <v>588</v>
      </c>
      <c r="Q207" s="115">
        <v>4120000</v>
      </c>
      <c r="R207" s="116">
        <v>1</v>
      </c>
      <c r="S207" s="115">
        <f t="shared" si="31"/>
        <v>47380000</v>
      </c>
      <c r="T207" s="255" t="s">
        <v>533</v>
      </c>
      <c r="U207" s="255" t="s">
        <v>432</v>
      </c>
      <c r="V207" s="119" t="s">
        <v>308</v>
      </c>
      <c r="W207" s="255">
        <v>11.5</v>
      </c>
      <c r="X207" s="256" t="s">
        <v>718</v>
      </c>
      <c r="Y207" s="120">
        <v>43104</v>
      </c>
      <c r="Z207" s="121">
        <f t="shared" si="32"/>
        <v>47380000</v>
      </c>
      <c r="AA207" s="256"/>
      <c r="AB207" s="256">
        <v>269</v>
      </c>
      <c r="AC207" s="122">
        <v>43109</v>
      </c>
      <c r="AD207" s="115">
        <v>47380000</v>
      </c>
      <c r="AE207" s="129">
        <f t="shared" si="26"/>
        <v>0</v>
      </c>
      <c r="AF207" s="124">
        <v>85</v>
      </c>
      <c r="AG207" s="122">
        <v>43116</v>
      </c>
      <c r="AH207" s="123">
        <f>AD207</f>
        <v>47380000</v>
      </c>
      <c r="AI207" s="125" t="s">
        <v>719</v>
      </c>
      <c r="AJ207" s="256">
        <v>81</v>
      </c>
      <c r="AK207" s="126"/>
      <c r="AL207" s="123">
        <f t="shared" si="30"/>
        <v>47380000</v>
      </c>
      <c r="AM207" s="123">
        <v>10162667</v>
      </c>
      <c r="AN207" s="123">
        <f t="shared" si="29"/>
        <v>37217333</v>
      </c>
      <c r="AO207" s="125" t="s">
        <v>435</v>
      </c>
      <c r="AP207" s="128"/>
      <c r="AQ207" s="128"/>
      <c r="AR207" s="128"/>
      <c r="AS207" s="128"/>
      <c r="AT207" s="128"/>
    </row>
    <row r="208" spans="1:46" ht="128.25" x14ac:dyDescent="0.25">
      <c r="A208" s="114">
        <v>78</v>
      </c>
      <c r="B208" s="114" t="s">
        <v>720</v>
      </c>
      <c r="C208" s="98" t="s">
        <v>424</v>
      </c>
      <c r="D208" s="18" t="s">
        <v>425</v>
      </c>
      <c r="E208" s="114" t="s">
        <v>453</v>
      </c>
      <c r="F208" s="18" t="s">
        <v>53</v>
      </c>
      <c r="G208" s="18" t="s">
        <v>54</v>
      </c>
      <c r="H208" s="99" t="s">
        <v>427</v>
      </c>
      <c r="I208" s="18" t="s">
        <v>56</v>
      </c>
      <c r="J208" s="18" t="s">
        <v>57</v>
      </c>
      <c r="K208" s="76">
        <v>801116</v>
      </c>
      <c r="L208" s="76" t="s">
        <v>428</v>
      </c>
      <c r="M208" s="114" t="s">
        <v>59</v>
      </c>
      <c r="N208" s="114" t="s">
        <v>60</v>
      </c>
      <c r="O208" s="77" t="s">
        <v>429</v>
      </c>
      <c r="P208" s="114" t="s">
        <v>721</v>
      </c>
      <c r="Q208" s="115">
        <v>5253000</v>
      </c>
      <c r="R208" s="116">
        <v>1</v>
      </c>
      <c r="S208" s="115">
        <f t="shared" si="31"/>
        <v>60409500</v>
      </c>
      <c r="T208" s="255" t="s">
        <v>533</v>
      </c>
      <c r="U208" s="255" t="s">
        <v>432</v>
      </c>
      <c r="V208" s="119" t="s">
        <v>308</v>
      </c>
      <c r="W208" s="255">
        <v>11.5</v>
      </c>
      <c r="X208" s="256" t="s">
        <v>722</v>
      </c>
      <c r="Y208" s="120">
        <v>43104</v>
      </c>
      <c r="Z208" s="121">
        <f t="shared" si="32"/>
        <v>60409500</v>
      </c>
      <c r="AA208" s="256"/>
      <c r="AB208" s="256">
        <v>270</v>
      </c>
      <c r="AC208" s="122">
        <v>43109</v>
      </c>
      <c r="AD208" s="115">
        <v>60409500</v>
      </c>
      <c r="AE208" s="129">
        <f t="shared" si="26"/>
        <v>0</v>
      </c>
      <c r="AF208" s="124">
        <v>231</v>
      </c>
      <c r="AG208" s="122">
        <v>43118</v>
      </c>
      <c r="AH208" s="123">
        <f>AD208</f>
        <v>60409500</v>
      </c>
      <c r="AI208" s="125" t="s">
        <v>723</v>
      </c>
      <c r="AJ208" s="256">
        <v>199</v>
      </c>
      <c r="AK208" s="126"/>
      <c r="AL208" s="123">
        <f t="shared" si="30"/>
        <v>60409500</v>
      </c>
      <c r="AM208" s="123">
        <v>12607200</v>
      </c>
      <c r="AN208" s="123">
        <f t="shared" si="29"/>
        <v>47802300</v>
      </c>
      <c r="AO208" s="125" t="s">
        <v>435</v>
      </c>
      <c r="AP208" s="128"/>
      <c r="AQ208" s="128"/>
      <c r="AR208" s="128"/>
      <c r="AS208" s="128"/>
      <c r="AT208" s="128"/>
    </row>
    <row r="209" spans="1:46" ht="153.75" x14ac:dyDescent="0.25">
      <c r="A209" s="114">
        <v>79</v>
      </c>
      <c r="B209" s="114" t="s">
        <v>724</v>
      </c>
      <c r="C209" s="98" t="s">
        <v>424</v>
      </c>
      <c r="D209" s="18" t="s">
        <v>425</v>
      </c>
      <c r="E209" s="114" t="s">
        <v>426</v>
      </c>
      <c r="F209" s="18" t="s">
        <v>53</v>
      </c>
      <c r="G209" s="18" t="s">
        <v>54</v>
      </c>
      <c r="H209" s="99" t="s">
        <v>427</v>
      </c>
      <c r="I209" s="18" t="s">
        <v>56</v>
      </c>
      <c r="J209" s="18" t="s">
        <v>57</v>
      </c>
      <c r="K209" s="76">
        <v>801116</v>
      </c>
      <c r="L209" s="76" t="s">
        <v>428</v>
      </c>
      <c r="M209" s="114" t="s">
        <v>59</v>
      </c>
      <c r="N209" s="114" t="s">
        <v>60</v>
      </c>
      <c r="O209" s="77" t="s">
        <v>429</v>
      </c>
      <c r="P209" s="114" t="s">
        <v>725</v>
      </c>
      <c r="Q209" s="115">
        <v>8384200</v>
      </c>
      <c r="R209" s="116">
        <v>1</v>
      </c>
      <c r="S209" s="117">
        <f t="shared" si="31"/>
        <v>96418300</v>
      </c>
      <c r="T209" s="255" t="s">
        <v>533</v>
      </c>
      <c r="U209" s="255" t="s">
        <v>432</v>
      </c>
      <c r="V209" s="119" t="s">
        <v>308</v>
      </c>
      <c r="W209" s="255">
        <v>11.5</v>
      </c>
      <c r="X209" s="256" t="s">
        <v>726</v>
      </c>
      <c r="Y209" s="120">
        <v>43104</v>
      </c>
      <c r="Z209" s="121">
        <f t="shared" si="32"/>
        <v>96418300</v>
      </c>
      <c r="AA209" s="256"/>
      <c r="AB209" s="256">
        <v>271</v>
      </c>
      <c r="AC209" s="122">
        <v>43109</v>
      </c>
      <c r="AD209" s="115">
        <v>96418300</v>
      </c>
      <c r="AE209" s="123">
        <f t="shared" si="26"/>
        <v>4516050</v>
      </c>
      <c r="AF209" s="124">
        <v>410</v>
      </c>
      <c r="AG209" s="122">
        <v>43124</v>
      </c>
      <c r="AH209" s="123">
        <v>91902250</v>
      </c>
      <c r="AI209" s="125" t="s">
        <v>727</v>
      </c>
      <c r="AJ209" s="256">
        <v>314</v>
      </c>
      <c r="AK209" s="126"/>
      <c r="AL209" s="123">
        <f t="shared" si="30"/>
        <v>91902250</v>
      </c>
      <c r="AM209" s="134">
        <v>0</v>
      </c>
      <c r="AN209" s="123">
        <f t="shared" si="29"/>
        <v>91902250</v>
      </c>
      <c r="AO209" s="125" t="s">
        <v>435</v>
      </c>
      <c r="AP209" s="128"/>
      <c r="AQ209" s="128"/>
      <c r="AR209" s="128"/>
      <c r="AS209" s="128"/>
      <c r="AT209" s="128"/>
    </row>
    <row r="210" spans="1:46" ht="77.25" x14ac:dyDescent="0.25">
      <c r="A210" s="114">
        <v>80</v>
      </c>
      <c r="B210" s="114" t="s">
        <v>728</v>
      </c>
      <c r="C210" s="98" t="s">
        <v>424</v>
      </c>
      <c r="D210" s="18" t="s">
        <v>425</v>
      </c>
      <c r="E210" s="26" t="s">
        <v>453</v>
      </c>
      <c r="F210" s="18" t="s">
        <v>53</v>
      </c>
      <c r="G210" s="18" t="s">
        <v>54</v>
      </c>
      <c r="H210" s="99" t="s">
        <v>427</v>
      </c>
      <c r="I210" s="18" t="s">
        <v>56</v>
      </c>
      <c r="J210" s="18" t="s">
        <v>57</v>
      </c>
      <c r="K210" s="76">
        <v>801116</v>
      </c>
      <c r="L210" s="76" t="s">
        <v>428</v>
      </c>
      <c r="M210" s="114" t="s">
        <v>59</v>
      </c>
      <c r="N210" s="114" t="s">
        <v>60</v>
      </c>
      <c r="O210" s="77" t="s">
        <v>429</v>
      </c>
      <c r="P210" s="114" t="s">
        <v>729</v>
      </c>
      <c r="Q210" s="115">
        <v>8240000</v>
      </c>
      <c r="R210" s="116">
        <v>1</v>
      </c>
      <c r="S210" s="115">
        <f t="shared" si="31"/>
        <v>94760000</v>
      </c>
      <c r="T210" s="255" t="s">
        <v>533</v>
      </c>
      <c r="U210" s="255" t="s">
        <v>432</v>
      </c>
      <c r="V210" s="119" t="s">
        <v>308</v>
      </c>
      <c r="W210" s="18">
        <v>11.5</v>
      </c>
      <c r="X210" s="256" t="s">
        <v>730</v>
      </c>
      <c r="Y210" s="120">
        <v>43104</v>
      </c>
      <c r="Z210" s="121">
        <f t="shared" si="32"/>
        <v>94760000</v>
      </c>
      <c r="AA210" s="256"/>
      <c r="AB210" s="256">
        <v>272</v>
      </c>
      <c r="AC210" s="122">
        <v>43109</v>
      </c>
      <c r="AD210" s="115">
        <v>94760000</v>
      </c>
      <c r="AE210" s="123">
        <f t="shared" si="26"/>
        <v>0</v>
      </c>
      <c r="AF210" s="124">
        <v>394</v>
      </c>
      <c r="AG210" s="122">
        <v>43124</v>
      </c>
      <c r="AH210" s="123">
        <f>AD210</f>
        <v>94760000</v>
      </c>
      <c r="AI210" s="125" t="s">
        <v>731</v>
      </c>
      <c r="AJ210" s="256">
        <v>316</v>
      </c>
      <c r="AK210" s="126"/>
      <c r="AL210" s="123">
        <f t="shared" si="30"/>
        <v>94760000</v>
      </c>
      <c r="AM210" s="123">
        <v>18128000</v>
      </c>
      <c r="AN210" s="123">
        <f>AL210-AM210</f>
        <v>76632000</v>
      </c>
      <c r="AO210" s="125" t="s">
        <v>435</v>
      </c>
      <c r="AP210" s="128"/>
      <c r="AQ210" s="128"/>
      <c r="AR210" s="128"/>
      <c r="AS210" s="128"/>
      <c r="AT210" s="128"/>
    </row>
    <row r="211" spans="1:46" ht="128.25" x14ac:dyDescent="0.25">
      <c r="A211" s="114">
        <v>81</v>
      </c>
      <c r="B211" s="114" t="s">
        <v>732</v>
      </c>
      <c r="C211" s="98" t="s">
        <v>424</v>
      </c>
      <c r="D211" s="18" t="s">
        <v>425</v>
      </c>
      <c r="E211" s="26" t="s">
        <v>453</v>
      </c>
      <c r="F211" s="18" t="s">
        <v>53</v>
      </c>
      <c r="G211" s="18" t="s">
        <v>54</v>
      </c>
      <c r="H211" s="99" t="s">
        <v>427</v>
      </c>
      <c r="I211" s="18" t="s">
        <v>56</v>
      </c>
      <c r="J211" s="18" t="s">
        <v>57</v>
      </c>
      <c r="K211" s="76">
        <v>801116</v>
      </c>
      <c r="L211" s="76" t="s">
        <v>428</v>
      </c>
      <c r="M211" s="114" t="s">
        <v>59</v>
      </c>
      <c r="N211" s="114" t="s">
        <v>60</v>
      </c>
      <c r="O211" s="77" t="s">
        <v>429</v>
      </c>
      <c r="P211" s="114" t="s">
        <v>458</v>
      </c>
      <c r="Q211" s="115">
        <v>5665000</v>
      </c>
      <c r="R211" s="116">
        <v>1</v>
      </c>
      <c r="S211" s="115">
        <f t="shared" si="31"/>
        <v>65147500</v>
      </c>
      <c r="T211" s="255" t="s">
        <v>533</v>
      </c>
      <c r="U211" s="255" t="s">
        <v>432</v>
      </c>
      <c r="V211" s="119" t="s">
        <v>308</v>
      </c>
      <c r="W211" s="18">
        <v>11.5</v>
      </c>
      <c r="X211" s="256" t="s">
        <v>733</v>
      </c>
      <c r="Y211" s="120">
        <v>43104</v>
      </c>
      <c r="Z211" s="121">
        <f t="shared" si="32"/>
        <v>65147500</v>
      </c>
      <c r="AA211" s="256"/>
      <c r="AB211" s="256">
        <v>273</v>
      </c>
      <c r="AC211" s="122">
        <v>43109</v>
      </c>
      <c r="AD211" s="115">
        <v>65147500</v>
      </c>
      <c r="AE211" s="123">
        <f t="shared" si="26"/>
        <v>0</v>
      </c>
      <c r="AF211" s="124">
        <v>453</v>
      </c>
      <c r="AG211" s="122">
        <v>43125</v>
      </c>
      <c r="AH211" s="123">
        <f>AD211</f>
        <v>65147500</v>
      </c>
      <c r="AI211" s="125" t="s">
        <v>734</v>
      </c>
      <c r="AJ211" s="256">
        <v>383</v>
      </c>
      <c r="AK211" s="126"/>
      <c r="AL211" s="123">
        <f t="shared" si="30"/>
        <v>65147500</v>
      </c>
      <c r="AM211" s="123">
        <v>12274167</v>
      </c>
      <c r="AN211" s="123">
        <f>AL211-AM211</f>
        <v>52873333</v>
      </c>
      <c r="AO211" s="125" t="s">
        <v>435</v>
      </c>
      <c r="AP211" s="128"/>
      <c r="AQ211" s="128"/>
      <c r="AR211" s="128"/>
      <c r="AS211" s="128"/>
      <c r="AT211" s="128"/>
    </row>
    <row r="212" spans="1:46" ht="77.25" x14ac:dyDescent="0.25">
      <c r="A212" s="114">
        <v>82</v>
      </c>
      <c r="B212" s="114" t="s">
        <v>735</v>
      </c>
      <c r="C212" s="98" t="s">
        <v>424</v>
      </c>
      <c r="D212" s="18" t="s">
        <v>425</v>
      </c>
      <c r="E212" s="26" t="s">
        <v>426</v>
      </c>
      <c r="F212" s="18" t="s">
        <v>53</v>
      </c>
      <c r="G212" s="18" t="s">
        <v>54</v>
      </c>
      <c r="H212" s="99" t="s">
        <v>427</v>
      </c>
      <c r="I212" s="18" t="s">
        <v>56</v>
      </c>
      <c r="J212" s="18" t="s">
        <v>57</v>
      </c>
      <c r="K212" s="76">
        <v>801116</v>
      </c>
      <c r="L212" s="76" t="s">
        <v>428</v>
      </c>
      <c r="M212" s="114" t="s">
        <v>59</v>
      </c>
      <c r="N212" s="114" t="s">
        <v>60</v>
      </c>
      <c r="O212" s="77" t="s">
        <v>429</v>
      </c>
      <c r="P212" s="114" t="s">
        <v>537</v>
      </c>
      <c r="Q212" s="115">
        <v>7210000</v>
      </c>
      <c r="R212" s="116">
        <v>1</v>
      </c>
      <c r="S212" s="117">
        <f t="shared" si="31"/>
        <v>82915000</v>
      </c>
      <c r="T212" s="255" t="s">
        <v>533</v>
      </c>
      <c r="U212" s="255" t="s">
        <v>432</v>
      </c>
      <c r="V212" s="119" t="s">
        <v>308</v>
      </c>
      <c r="W212" s="18">
        <v>11.5</v>
      </c>
      <c r="X212" s="256" t="s">
        <v>736</v>
      </c>
      <c r="Y212" s="120">
        <v>43104</v>
      </c>
      <c r="Z212" s="121">
        <f t="shared" si="32"/>
        <v>82915000</v>
      </c>
      <c r="AA212" s="256"/>
      <c r="AB212" s="256">
        <v>274</v>
      </c>
      <c r="AC212" s="122">
        <v>43109</v>
      </c>
      <c r="AD212" s="115">
        <f>Z212</f>
        <v>82915000</v>
      </c>
      <c r="AE212" s="123">
        <f t="shared" si="26"/>
        <v>0</v>
      </c>
      <c r="AF212" s="124">
        <v>151</v>
      </c>
      <c r="AG212" s="122">
        <v>43117</v>
      </c>
      <c r="AH212" s="123">
        <f>AD212</f>
        <v>82915000</v>
      </c>
      <c r="AI212" s="125" t="s">
        <v>737</v>
      </c>
      <c r="AJ212" s="256">
        <v>158</v>
      </c>
      <c r="AK212" s="126"/>
      <c r="AL212" s="123">
        <f t="shared" si="30"/>
        <v>82915000</v>
      </c>
      <c r="AM212" s="123">
        <v>17544334</v>
      </c>
      <c r="AN212" s="123">
        <f>AL212-AM212</f>
        <v>65370666</v>
      </c>
      <c r="AO212" s="125" t="s">
        <v>435</v>
      </c>
      <c r="AP212" s="128"/>
      <c r="AQ212" s="128"/>
      <c r="AR212" s="128"/>
      <c r="AS212" s="128"/>
      <c r="AT212" s="128"/>
    </row>
    <row r="213" spans="1:46" ht="90" x14ac:dyDescent="0.25">
      <c r="A213" s="114">
        <v>83</v>
      </c>
      <c r="B213" s="114" t="s">
        <v>738</v>
      </c>
      <c r="C213" s="98" t="s">
        <v>424</v>
      </c>
      <c r="D213" s="18" t="s">
        <v>425</v>
      </c>
      <c r="E213" s="26" t="s">
        <v>426</v>
      </c>
      <c r="F213" s="18" t="s">
        <v>53</v>
      </c>
      <c r="G213" s="18" t="s">
        <v>54</v>
      </c>
      <c r="H213" s="99" t="s">
        <v>427</v>
      </c>
      <c r="I213" s="18" t="s">
        <v>56</v>
      </c>
      <c r="J213" s="18" t="s">
        <v>57</v>
      </c>
      <c r="K213" s="76">
        <v>801116</v>
      </c>
      <c r="L213" s="76" t="s">
        <v>428</v>
      </c>
      <c r="M213" s="114" t="s">
        <v>59</v>
      </c>
      <c r="N213" s="114" t="s">
        <v>60</v>
      </c>
      <c r="O213" s="77" t="s">
        <v>429</v>
      </c>
      <c r="P213" s="114" t="s">
        <v>739</v>
      </c>
      <c r="Q213" s="115">
        <v>4120000</v>
      </c>
      <c r="R213" s="116">
        <v>1</v>
      </c>
      <c r="S213" s="117">
        <f t="shared" si="31"/>
        <v>47380000</v>
      </c>
      <c r="T213" s="255" t="s">
        <v>533</v>
      </c>
      <c r="U213" s="255" t="s">
        <v>432</v>
      </c>
      <c r="V213" s="119" t="s">
        <v>308</v>
      </c>
      <c r="W213" s="18">
        <v>11.5</v>
      </c>
      <c r="X213" s="256" t="s">
        <v>740</v>
      </c>
      <c r="Y213" s="120">
        <v>43104</v>
      </c>
      <c r="Z213" s="121">
        <f t="shared" si="32"/>
        <v>47380000</v>
      </c>
      <c r="AA213" s="256"/>
      <c r="AB213" s="256">
        <v>275</v>
      </c>
      <c r="AC213" s="122">
        <v>43109</v>
      </c>
      <c r="AD213" s="115">
        <v>47380000</v>
      </c>
      <c r="AE213" s="123">
        <f t="shared" si="26"/>
        <v>0</v>
      </c>
      <c r="AF213" s="124">
        <v>363</v>
      </c>
      <c r="AG213" s="122">
        <v>43123</v>
      </c>
      <c r="AH213" s="123">
        <f>AD213</f>
        <v>47380000</v>
      </c>
      <c r="AI213" s="125" t="s">
        <v>741</v>
      </c>
      <c r="AJ213" s="256">
        <v>303</v>
      </c>
      <c r="AK213" s="126"/>
      <c r="AL213" s="123">
        <f t="shared" si="30"/>
        <v>47380000</v>
      </c>
      <c r="AM213" s="123">
        <v>1133000</v>
      </c>
      <c r="AN213" s="123">
        <f t="shared" ref="AN213:AN220" si="33">AL213-AM213</f>
        <v>46247000</v>
      </c>
      <c r="AO213" s="125" t="s">
        <v>435</v>
      </c>
      <c r="AP213" s="128"/>
      <c r="AQ213" s="128"/>
      <c r="AR213" s="128"/>
      <c r="AS213" s="128"/>
      <c r="AT213" s="128"/>
    </row>
    <row r="214" spans="1:46" ht="102.75" x14ac:dyDescent="0.25">
      <c r="A214" s="114">
        <v>84</v>
      </c>
      <c r="B214" s="114" t="s">
        <v>742</v>
      </c>
      <c r="C214" s="98" t="s">
        <v>424</v>
      </c>
      <c r="D214" s="18" t="s">
        <v>425</v>
      </c>
      <c r="E214" s="26" t="s">
        <v>453</v>
      </c>
      <c r="F214" s="18" t="s">
        <v>53</v>
      </c>
      <c r="G214" s="18" t="s">
        <v>54</v>
      </c>
      <c r="H214" s="99" t="s">
        <v>427</v>
      </c>
      <c r="I214" s="18" t="s">
        <v>56</v>
      </c>
      <c r="J214" s="18" t="s">
        <v>57</v>
      </c>
      <c r="K214" s="76">
        <v>801116</v>
      </c>
      <c r="L214" s="76" t="s">
        <v>428</v>
      </c>
      <c r="M214" s="114" t="s">
        <v>59</v>
      </c>
      <c r="N214" s="114" t="s">
        <v>60</v>
      </c>
      <c r="O214" s="77" t="s">
        <v>429</v>
      </c>
      <c r="P214" s="114" t="s">
        <v>743</v>
      </c>
      <c r="Q214" s="115">
        <v>2472000</v>
      </c>
      <c r="R214" s="116">
        <v>1</v>
      </c>
      <c r="S214" s="115">
        <f t="shared" si="31"/>
        <v>28428000</v>
      </c>
      <c r="T214" s="255" t="s">
        <v>533</v>
      </c>
      <c r="U214" s="255" t="s">
        <v>432</v>
      </c>
      <c r="V214" s="119" t="s">
        <v>308</v>
      </c>
      <c r="W214" s="18">
        <v>11.5</v>
      </c>
      <c r="X214" s="256" t="s">
        <v>744</v>
      </c>
      <c r="Y214" s="120">
        <v>43104</v>
      </c>
      <c r="Z214" s="121">
        <f t="shared" si="32"/>
        <v>28428000</v>
      </c>
      <c r="AA214" s="256"/>
      <c r="AB214" s="256">
        <v>276</v>
      </c>
      <c r="AC214" s="122">
        <v>43109</v>
      </c>
      <c r="AD214" s="115">
        <v>28428000</v>
      </c>
      <c r="AE214" s="123">
        <f t="shared" si="26"/>
        <v>0</v>
      </c>
      <c r="AF214" s="124">
        <v>494</v>
      </c>
      <c r="AG214" s="122">
        <v>43126</v>
      </c>
      <c r="AH214" s="123">
        <f>AD214</f>
        <v>28428000</v>
      </c>
      <c r="AI214" s="125" t="s">
        <v>745</v>
      </c>
      <c r="AJ214" s="256">
        <v>420</v>
      </c>
      <c r="AK214" s="126"/>
      <c r="AL214" s="123">
        <f t="shared" si="30"/>
        <v>28428000</v>
      </c>
      <c r="AM214" s="123">
        <v>4944000</v>
      </c>
      <c r="AN214" s="123">
        <f t="shared" si="33"/>
        <v>23484000</v>
      </c>
      <c r="AO214" s="125" t="s">
        <v>435</v>
      </c>
      <c r="AP214" s="128"/>
      <c r="AQ214" s="128"/>
      <c r="AR214" s="128"/>
      <c r="AS214" s="128"/>
      <c r="AT214" s="128"/>
    </row>
    <row r="215" spans="1:46" ht="115.5" x14ac:dyDescent="0.25">
      <c r="A215" s="114">
        <v>85</v>
      </c>
      <c r="B215" s="114" t="s">
        <v>746</v>
      </c>
      <c r="C215" s="98" t="s">
        <v>424</v>
      </c>
      <c r="D215" s="18" t="s">
        <v>425</v>
      </c>
      <c r="E215" s="114" t="s">
        <v>426</v>
      </c>
      <c r="F215" s="18" t="s">
        <v>53</v>
      </c>
      <c r="G215" s="18" t="s">
        <v>54</v>
      </c>
      <c r="H215" s="99" t="s">
        <v>427</v>
      </c>
      <c r="I215" s="18" t="s">
        <v>56</v>
      </c>
      <c r="J215" s="18" t="s">
        <v>57</v>
      </c>
      <c r="K215" s="76">
        <v>801116</v>
      </c>
      <c r="L215" s="76" t="s">
        <v>428</v>
      </c>
      <c r="M215" s="114" t="s">
        <v>59</v>
      </c>
      <c r="N215" s="114" t="s">
        <v>60</v>
      </c>
      <c r="O215" s="77" t="s">
        <v>429</v>
      </c>
      <c r="P215" s="114" t="s">
        <v>402</v>
      </c>
      <c r="Q215" s="115">
        <v>888376</v>
      </c>
      <c r="R215" s="116">
        <v>1</v>
      </c>
      <c r="S215" s="117">
        <f t="shared" si="31"/>
        <v>10216324</v>
      </c>
      <c r="T215" s="255" t="s">
        <v>533</v>
      </c>
      <c r="U215" s="255" t="s">
        <v>432</v>
      </c>
      <c r="V215" s="119" t="s">
        <v>308</v>
      </c>
      <c r="W215" s="255">
        <v>11.5</v>
      </c>
      <c r="X215" s="256" t="s">
        <v>747</v>
      </c>
      <c r="Y215" s="120">
        <v>43104</v>
      </c>
      <c r="Z215" s="121">
        <f t="shared" si="32"/>
        <v>10216324</v>
      </c>
      <c r="AA215" s="256"/>
      <c r="AB215" s="256">
        <v>277</v>
      </c>
      <c r="AC215" s="122">
        <v>43109</v>
      </c>
      <c r="AD215" s="115">
        <v>10216324</v>
      </c>
      <c r="AE215" s="123">
        <f t="shared" si="26"/>
        <v>444199</v>
      </c>
      <c r="AF215" s="124">
        <v>291</v>
      </c>
      <c r="AG215" s="122">
        <v>43122</v>
      </c>
      <c r="AH215" s="115">
        <v>9772125</v>
      </c>
      <c r="AI215" s="125" t="s">
        <v>403</v>
      </c>
      <c r="AJ215" s="256">
        <v>261</v>
      </c>
      <c r="AK215" s="126"/>
      <c r="AL215" s="123">
        <f t="shared" si="30"/>
        <v>9772125</v>
      </c>
      <c r="AM215" s="123">
        <v>2043262</v>
      </c>
      <c r="AN215" s="123">
        <f t="shared" si="33"/>
        <v>7728863</v>
      </c>
      <c r="AO215" s="125" t="s">
        <v>435</v>
      </c>
      <c r="AP215" s="128"/>
      <c r="AQ215" s="128"/>
      <c r="AR215" s="128"/>
      <c r="AS215" s="128"/>
      <c r="AT215" s="128"/>
    </row>
    <row r="216" spans="1:46" ht="90" x14ac:dyDescent="0.25">
      <c r="A216" s="114">
        <v>86</v>
      </c>
      <c r="B216" s="114" t="s">
        <v>748</v>
      </c>
      <c r="C216" s="98" t="s">
        <v>424</v>
      </c>
      <c r="D216" s="18" t="s">
        <v>425</v>
      </c>
      <c r="E216" s="18" t="s">
        <v>749</v>
      </c>
      <c r="F216" s="18" t="s">
        <v>53</v>
      </c>
      <c r="G216" s="18" t="s">
        <v>54</v>
      </c>
      <c r="H216" s="99" t="s">
        <v>427</v>
      </c>
      <c r="I216" s="18" t="s">
        <v>56</v>
      </c>
      <c r="J216" s="18" t="s">
        <v>57</v>
      </c>
      <c r="K216" s="76">
        <v>801116</v>
      </c>
      <c r="L216" s="76" t="s">
        <v>428</v>
      </c>
      <c r="M216" s="114" t="s">
        <v>59</v>
      </c>
      <c r="N216" s="114" t="s">
        <v>60</v>
      </c>
      <c r="O216" s="77" t="s">
        <v>429</v>
      </c>
      <c r="P216" s="114" t="s">
        <v>750</v>
      </c>
      <c r="Q216" s="115">
        <v>6695000</v>
      </c>
      <c r="R216" s="116">
        <v>1</v>
      </c>
      <c r="S216" s="115">
        <f t="shared" si="31"/>
        <v>76992500</v>
      </c>
      <c r="T216" s="255" t="s">
        <v>533</v>
      </c>
      <c r="U216" s="255" t="s">
        <v>432</v>
      </c>
      <c r="V216" s="119" t="s">
        <v>308</v>
      </c>
      <c r="W216" s="255">
        <v>11.5</v>
      </c>
      <c r="X216" s="256" t="s">
        <v>751</v>
      </c>
      <c r="Y216" s="120">
        <v>43104</v>
      </c>
      <c r="Z216" s="121">
        <f t="shared" si="32"/>
        <v>76992500</v>
      </c>
      <c r="AA216" s="256"/>
      <c r="AB216" s="256">
        <v>278</v>
      </c>
      <c r="AC216" s="122">
        <v>43109</v>
      </c>
      <c r="AD216" s="115">
        <v>76992500</v>
      </c>
      <c r="AE216" s="123">
        <f>AD216-AL216</f>
        <v>0</v>
      </c>
      <c r="AF216" s="124">
        <v>318</v>
      </c>
      <c r="AG216" s="122">
        <v>43122</v>
      </c>
      <c r="AH216" s="123">
        <f>AD216</f>
        <v>76992500</v>
      </c>
      <c r="AI216" s="125" t="s">
        <v>752</v>
      </c>
      <c r="AJ216" s="256">
        <v>277</v>
      </c>
      <c r="AK216" s="126"/>
      <c r="AL216" s="123">
        <f t="shared" si="30"/>
        <v>76992500</v>
      </c>
      <c r="AM216" s="123">
        <v>15175333</v>
      </c>
      <c r="AN216" s="123">
        <f t="shared" si="33"/>
        <v>61817167</v>
      </c>
      <c r="AO216" s="125" t="s">
        <v>435</v>
      </c>
      <c r="AP216" s="128"/>
      <c r="AQ216" s="128"/>
      <c r="AR216" s="128"/>
      <c r="AS216" s="128"/>
      <c r="AT216" s="128"/>
    </row>
    <row r="217" spans="1:46" ht="115.5" x14ac:dyDescent="0.25">
      <c r="A217" s="114">
        <v>87</v>
      </c>
      <c r="B217" s="114" t="s">
        <v>753</v>
      </c>
      <c r="C217" s="98" t="s">
        <v>424</v>
      </c>
      <c r="D217" s="18" t="s">
        <v>425</v>
      </c>
      <c r="E217" s="114" t="s">
        <v>453</v>
      </c>
      <c r="F217" s="18" t="s">
        <v>53</v>
      </c>
      <c r="G217" s="18" t="s">
        <v>54</v>
      </c>
      <c r="H217" s="99" t="s">
        <v>427</v>
      </c>
      <c r="I217" s="18" t="s">
        <v>56</v>
      </c>
      <c r="J217" s="18" t="s">
        <v>57</v>
      </c>
      <c r="K217" s="76">
        <v>801116</v>
      </c>
      <c r="L217" s="76" t="s">
        <v>428</v>
      </c>
      <c r="M217" s="114" t="s">
        <v>59</v>
      </c>
      <c r="N217" s="114" t="s">
        <v>60</v>
      </c>
      <c r="O217" s="77" t="s">
        <v>429</v>
      </c>
      <c r="P217" s="114" t="s">
        <v>754</v>
      </c>
      <c r="Q217" s="115">
        <v>5036700</v>
      </c>
      <c r="R217" s="116">
        <v>1</v>
      </c>
      <c r="S217" s="115">
        <f t="shared" si="31"/>
        <v>57922050</v>
      </c>
      <c r="T217" s="255" t="s">
        <v>533</v>
      </c>
      <c r="U217" s="255" t="s">
        <v>432</v>
      </c>
      <c r="V217" s="119" t="s">
        <v>308</v>
      </c>
      <c r="W217" s="255">
        <v>11.5</v>
      </c>
      <c r="X217" s="256" t="s">
        <v>755</v>
      </c>
      <c r="Y217" s="120">
        <v>43104</v>
      </c>
      <c r="Z217" s="121">
        <f t="shared" si="32"/>
        <v>57922050</v>
      </c>
      <c r="AA217" s="256"/>
      <c r="AB217" s="256">
        <v>279</v>
      </c>
      <c r="AC217" s="122">
        <v>43109</v>
      </c>
      <c r="AD217" s="115">
        <v>57922050</v>
      </c>
      <c r="AE217" s="123">
        <f>AD217-AL217</f>
        <v>0</v>
      </c>
      <c r="AF217" s="124">
        <v>493</v>
      </c>
      <c r="AG217" s="122">
        <v>43126</v>
      </c>
      <c r="AH217" s="123">
        <f>AD217</f>
        <v>57922050</v>
      </c>
      <c r="AI217" s="125" t="s">
        <v>756</v>
      </c>
      <c r="AJ217" s="256">
        <v>423</v>
      </c>
      <c r="AK217" s="126"/>
      <c r="AL217" s="123">
        <f t="shared" si="30"/>
        <v>57922050</v>
      </c>
      <c r="AM217" s="123">
        <v>10409180</v>
      </c>
      <c r="AN217" s="123">
        <f t="shared" si="33"/>
        <v>47512870</v>
      </c>
      <c r="AO217" s="125" t="s">
        <v>435</v>
      </c>
      <c r="AP217" s="128"/>
      <c r="AQ217" s="128"/>
      <c r="AR217" s="128"/>
      <c r="AS217" s="128"/>
      <c r="AT217" s="128"/>
    </row>
    <row r="218" spans="1:46" ht="90" x14ac:dyDescent="0.25">
      <c r="A218" s="114">
        <v>88</v>
      </c>
      <c r="B218" s="114" t="s">
        <v>757</v>
      </c>
      <c r="C218" s="98" t="s">
        <v>424</v>
      </c>
      <c r="D218" s="18" t="s">
        <v>425</v>
      </c>
      <c r="E218" s="114" t="s">
        <v>453</v>
      </c>
      <c r="F218" s="18" t="s">
        <v>53</v>
      </c>
      <c r="G218" s="18" t="s">
        <v>54</v>
      </c>
      <c r="H218" s="99" t="s">
        <v>427</v>
      </c>
      <c r="I218" s="18" t="s">
        <v>56</v>
      </c>
      <c r="J218" s="18" t="s">
        <v>57</v>
      </c>
      <c r="K218" s="76">
        <v>801116</v>
      </c>
      <c r="L218" s="76" t="s">
        <v>428</v>
      </c>
      <c r="M218" s="114" t="s">
        <v>59</v>
      </c>
      <c r="N218" s="114" t="s">
        <v>60</v>
      </c>
      <c r="O218" s="77" t="s">
        <v>429</v>
      </c>
      <c r="P218" s="114" t="s">
        <v>588</v>
      </c>
      <c r="Q218" s="115">
        <v>4120000</v>
      </c>
      <c r="R218" s="116">
        <v>1</v>
      </c>
      <c r="S218" s="115">
        <f t="shared" si="31"/>
        <v>47380000</v>
      </c>
      <c r="T218" s="255" t="s">
        <v>533</v>
      </c>
      <c r="U218" s="255" t="s">
        <v>432</v>
      </c>
      <c r="V218" s="119" t="s">
        <v>308</v>
      </c>
      <c r="W218" s="255">
        <v>11.5</v>
      </c>
      <c r="X218" s="256" t="s">
        <v>758</v>
      </c>
      <c r="Y218" s="120">
        <v>43104</v>
      </c>
      <c r="Z218" s="121">
        <f t="shared" si="32"/>
        <v>47380000</v>
      </c>
      <c r="AA218" s="256"/>
      <c r="AB218" s="256">
        <v>280</v>
      </c>
      <c r="AC218" s="122">
        <v>43109</v>
      </c>
      <c r="AD218" s="115">
        <v>47380000</v>
      </c>
      <c r="AE218" s="123">
        <f>AD218-AL218</f>
        <v>0</v>
      </c>
      <c r="AF218" s="124">
        <v>480</v>
      </c>
      <c r="AG218" s="122">
        <v>43126</v>
      </c>
      <c r="AH218" s="123">
        <f>AD218</f>
        <v>47380000</v>
      </c>
      <c r="AI218" s="125" t="s">
        <v>759</v>
      </c>
      <c r="AJ218" s="256">
        <v>402</v>
      </c>
      <c r="AK218" s="126"/>
      <c r="AL218" s="123">
        <f t="shared" si="30"/>
        <v>47380000</v>
      </c>
      <c r="AM218" s="123">
        <v>8514667</v>
      </c>
      <c r="AN218" s="123">
        <f t="shared" si="33"/>
        <v>38865333</v>
      </c>
      <c r="AO218" s="125" t="s">
        <v>435</v>
      </c>
      <c r="AP218" s="128"/>
      <c r="AQ218" s="128"/>
      <c r="AR218" s="128"/>
      <c r="AS218" s="128"/>
      <c r="AT218" s="128"/>
    </row>
    <row r="219" spans="1:46" ht="77.25" x14ac:dyDescent="0.25">
      <c r="A219" s="114">
        <v>89</v>
      </c>
      <c r="B219" s="114" t="s">
        <v>760</v>
      </c>
      <c r="C219" s="98" t="s">
        <v>424</v>
      </c>
      <c r="D219" s="18" t="s">
        <v>425</v>
      </c>
      <c r="E219" s="114" t="s">
        <v>453</v>
      </c>
      <c r="F219" s="18" t="s">
        <v>53</v>
      </c>
      <c r="G219" s="18" t="s">
        <v>54</v>
      </c>
      <c r="H219" s="99" t="s">
        <v>427</v>
      </c>
      <c r="I219" s="18" t="s">
        <v>56</v>
      </c>
      <c r="J219" s="18" t="s">
        <v>57</v>
      </c>
      <c r="K219" s="76">
        <v>801116</v>
      </c>
      <c r="L219" s="76" t="s">
        <v>428</v>
      </c>
      <c r="M219" s="114" t="s">
        <v>59</v>
      </c>
      <c r="N219" s="114" t="s">
        <v>60</v>
      </c>
      <c r="O219" s="77" t="s">
        <v>429</v>
      </c>
      <c r="P219" s="114" t="s">
        <v>761</v>
      </c>
      <c r="Q219" s="115">
        <v>1545000</v>
      </c>
      <c r="R219" s="116">
        <v>1</v>
      </c>
      <c r="S219" s="115">
        <f t="shared" si="31"/>
        <v>17767500</v>
      </c>
      <c r="T219" s="255" t="s">
        <v>533</v>
      </c>
      <c r="U219" s="255" t="s">
        <v>432</v>
      </c>
      <c r="V219" s="119" t="s">
        <v>308</v>
      </c>
      <c r="W219" s="255">
        <v>11.5</v>
      </c>
      <c r="X219" s="256" t="s">
        <v>762</v>
      </c>
      <c r="Y219" s="120">
        <v>43104</v>
      </c>
      <c r="Z219" s="121">
        <f t="shared" si="32"/>
        <v>17767500</v>
      </c>
      <c r="AA219" s="256"/>
      <c r="AB219" s="256">
        <v>281</v>
      </c>
      <c r="AC219" s="122">
        <v>43109</v>
      </c>
      <c r="AD219" s="115">
        <v>17767500</v>
      </c>
      <c r="AE219" s="123">
        <f>AD219-AL219</f>
        <v>0</v>
      </c>
      <c r="AF219" s="124">
        <v>296</v>
      </c>
      <c r="AG219" s="122">
        <v>43122</v>
      </c>
      <c r="AH219" s="123">
        <f>AD219</f>
        <v>17767500</v>
      </c>
      <c r="AI219" s="125" t="s">
        <v>763</v>
      </c>
      <c r="AJ219" s="256">
        <v>264</v>
      </c>
      <c r="AK219" s="126"/>
      <c r="AL219" s="123">
        <f t="shared" si="30"/>
        <v>17767500</v>
      </c>
      <c r="AM219" s="123">
        <v>3553500</v>
      </c>
      <c r="AN219" s="123">
        <f t="shared" si="33"/>
        <v>14214000</v>
      </c>
      <c r="AO219" s="125" t="s">
        <v>435</v>
      </c>
      <c r="AP219" s="128"/>
      <c r="AQ219" s="128"/>
      <c r="AR219" s="128"/>
      <c r="AS219" s="128"/>
      <c r="AT219" s="128"/>
    </row>
    <row r="220" spans="1:46" ht="165.75" x14ac:dyDescent="0.25">
      <c r="A220" s="114">
        <v>90</v>
      </c>
      <c r="B220" s="114" t="s">
        <v>764</v>
      </c>
      <c r="C220" s="98" t="s">
        <v>424</v>
      </c>
      <c r="D220" s="18" t="s">
        <v>425</v>
      </c>
      <c r="E220" s="114" t="s">
        <v>426</v>
      </c>
      <c r="F220" s="18" t="s">
        <v>53</v>
      </c>
      <c r="G220" s="18" t="s">
        <v>54</v>
      </c>
      <c r="H220" s="99" t="s">
        <v>427</v>
      </c>
      <c r="I220" s="18" t="s">
        <v>56</v>
      </c>
      <c r="J220" s="18" t="s">
        <v>57</v>
      </c>
      <c r="K220" s="76">
        <v>801116</v>
      </c>
      <c r="L220" s="78" t="s">
        <v>428</v>
      </c>
      <c r="M220" s="114" t="s">
        <v>59</v>
      </c>
      <c r="N220" s="114" t="s">
        <v>60</v>
      </c>
      <c r="O220" s="77" t="s">
        <v>429</v>
      </c>
      <c r="P220" s="114" t="s">
        <v>765</v>
      </c>
      <c r="Q220" s="115">
        <v>7210000</v>
      </c>
      <c r="R220" s="118">
        <v>1</v>
      </c>
      <c r="S220" s="117">
        <f>+Q220*R220*W220-82915000</f>
        <v>0</v>
      </c>
      <c r="T220" s="255" t="s">
        <v>533</v>
      </c>
      <c r="U220" s="255" t="s">
        <v>432</v>
      </c>
      <c r="V220" s="119" t="s">
        <v>308</v>
      </c>
      <c r="W220" s="255">
        <v>11.5</v>
      </c>
      <c r="X220" s="256" t="s">
        <v>766</v>
      </c>
      <c r="Y220" s="130">
        <v>43104</v>
      </c>
      <c r="Z220" s="115">
        <f t="shared" si="32"/>
        <v>0</v>
      </c>
      <c r="AA220" s="126"/>
      <c r="AB220" s="255" t="s">
        <v>767</v>
      </c>
      <c r="AC220" s="130">
        <v>43109</v>
      </c>
      <c r="AD220" s="115">
        <v>82915000</v>
      </c>
      <c r="AE220" s="126"/>
      <c r="AF220" s="131"/>
      <c r="AG220" s="128"/>
      <c r="AH220" s="126"/>
      <c r="AI220" s="125"/>
      <c r="AJ220" s="128"/>
      <c r="AK220" s="128"/>
      <c r="AL220" s="126"/>
      <c r="AM220" s="126"/>
      <c r="AN220" s="129">
        <f t="shared" si="33"/>
        <v>0</v>
      </c>
      <c r="AO220" s="125" t="s">
        <v>435</v>
      </c>
      <c r="AP220" s="128"/>
      <c r="AQ220" s="132" t="s">
        <v>768</v>
      </c>
      <c r="AR220" s="133">
        <v>43150</v>
      </c>
      <c r="AS220" s="125" t="s">
        <v>445</v>
      </c>
      <c r="AT220" s="128"/>
    </row>
    <row r="221" spans="1:46" ht="77.25" x14ac:dyDescent="0.25">
      <c r="A221" s="114">
        <v>91</v>
      </c>
      <c r="B221" s="114" t="s">
        <v>769</v>
      </c>
      <c r="C221" s="98" t="s">
        <v>424</v>
      </c>
      <c r="D221" s="18" t="s">
        <v>425</v>
      </c>
      <c r="E221" s="18" t="s">
        <v>749</v>
      </c>
      <c r="F221" s="18" t="s">
        <v>53</v>
      </c>
      <c r="G221" s="18" t="s">
        <v>54</v>
      </c>
      <c r="H221" s="99" t="s">
        <v>427</v>
      </c>
      <c r="I221" s="18" t="s">
        <v>56</v>
      </c>
      <c r="J221" s="18" t="s">
        <v>57</v>
      </c>
      <c r="K221" s="76">
        <v>801116</v>
      </c>
      <c r="L221" s="78" t="s">
        <v>428</v>
      </c>
      <c r="M221" s="114" t="s">
        <v>59</v>
      </c>
      <c r="N221" s="114" t="s">
        <v>60</v>
      </c>
      <c r="O221" s="77" t="s">
        <v>429</v>
      </c>
      <c r="P221" s="114" t="s">
        <v>770</v>
      </c>
      <c r="Q221" s="115">
        <f>+S221/10</f>
        <v>11900000</v>
      </c>
      <c r="R221" s="118">
        <v>1</v>
      </c>
      <c r="S221" s="115">
        <v>119000000</v>
      </c>
      <c r="T221" s="255" t="s">
        <v>533</v>
      </c>
      <c r="U221" s="255" t="s">
        <v>432</v>
      </c>
      <c r="V221" s="119" t="s">
        <v>302</v>
      </c>
      <c r="W221" s="255">
        <v>10</v>
      </c>
      <c r="X221" s="256"/>
      <c r="Y221" s="130">
        <v>43102</v>
      </c>
      <c r="Z221" s="115">
        <f t="shared" si="32"/>
        <v>119000000</v>
      </c>
      <c r="AA221" s="126"/>
      <c r="AB221" s="256"/>
      <c r="AC221" s="124"/>
      <c r="AD221" s="115"/>
      <c r="AE221" s="126"/>
      <c r="AF221" s="131"/>
      <c r="AG221" s="128"/>
      <c r="AH221" s="126"/>
      <c r="AI221" s="125"/>
      <c r="AJ221" s="128"/>
      <c r="AK221" s="128"/>
      <c r="AL221" s="126"/>
      <c r="AM221" s="126"/>
      <c r="AN221" s="126"/>
      <c r="AO221" s="125" t="s">
        <v>435</v>
      </c>
      <c r="AP221" s="128"/>
      <c r="AQ221" s="128"/>
      <c r="AR221" s="128"/>
      <c r="AS221" s="128"/>
      <c r="AT221" s="128"/>
    </row>
    <row r="222" spans="1:46" ht="127.5" x14ac:dyDescent="0.25">
      <c r="A222" s="114">
        <v>92</v>
      </c>
      <c r="B222" s="114" t="s">
        <v>771</v>
      </c>
      <c r="C222" s="98" t="s">
        <v>424</v>
      </c>
      <c r="D222" s="18" t="s">
        <v>425</v>
      </c>
      <c r="E222" s="114" t="s">
        <v>426</v>
      </c>
      <c r="F222" s="18" t="s">
        <v>53</v>
      </c>
      <c r="G222" s="18" t="s">
        <v>54</v>
      </c>
      <c r="H222" s="99" t="s">
        <v>427</v>
      </c>
      <c r="I222" s="18" t="s">
        <v>56</v>
      </c>
      <c r="J222" s="18" t="s">
        <v>57</v>
      </c>
      <c r="K222" s="80">
        <v>801116</v>
      </c>
      <c r="L222" s="81" t="s">
        <v>428</v>
      </c>
      <c r="M222" s="118" t="s">
        <v>59</v>
      </c>
      <c r="N222" s="114" t="s">
        <v>60</v>
      </c>
      <c r="O222" s="77" t="s">
        <v>429</v>
      </c>
      <c r="P222" s="114" t="s">
        <v>772</v>
      </c>
      <c r="Q222" s="115">
        <f>+S222/10/R222</f>
        <v>4166540.1</v>
      </c>
      <c r="R222" s="118">
        <v>2</v>
      </c>
      <c r="S222" s="117">
        <f>293177807-38259350-38259350-17767500-27192000-37389000-60000000-39088500+38455195+65147500+82915000-90000000-11611000-30000000-6798000</f>
        <v>83330802</v>
      </c>
      <c r="T222" s="255" t="s">
        <v>533</v>
      </c>
      <c r="U222" s="255" t="s">
        <v>432</v>
      </c>
      <c r="V222" s="119" t="s">
        <v>302</v>
      </c>
      <c r="W222" s="255">
        <v>10</v>
      </c>
      <c r="X222" s="256"/>
      <c r="Y222" s="130">
        <v>43102</v>
      </c>
      <c r="Z222" s="115">
        <f t="shared" si="32"/>
        <v>83330802</v>
      </c>
      <c r="AA222" s="126"/>
      <c r="AB222" s="256"/>
      <c r="AC222" s="124"/>
      <c r="AD222" s="115"/>
      <c r="AE222" s="126"/>
      <c r="AF222" s="131"/>
      <c r="AG222" s="128"/>
      <c r="AH222" s="126"/>
      <c r="AI222" s="125"/>
      <c r="AJ222" s="128"/>
      <c r="AK222" s="128"/>
      <c r="AL222" s="126"/>
      <c r="AM222" s="126"/>
      <c r="AN222" s="126"/>
      <c r="AO222" s="125" t="s">
        <v>435</v>
      </c>
      <c r="AP222" s="128"/>
      <c r="AQ222" s="132" t="s">
        <v>773</v>
      </c>
      <c r="AR222" s="135">
        <v>43150</v>
      </c>
      <c r="AS222" s="132" t="s">
        <v>774</v>
      </c>
      <c r="AT222" s="128"/>
    </row>
    <row r="223" spans="1:46" ht="77.25" x14ac:dyDescent="0.25">
      <c r="A223" s="114">
        <v>93</v>
      </c>
      <c r="B223" s="114" t="s">
        <v>775</v>
      </c>
      <c r="C223" s="98" t="s">
        <v>424</v>
      </c>
      <c r="D223" s="18" t="s">
        <v>425</v>
      </c>
      <c r="E223" s="114" t="s">
        <v>453</v>
      </c>
      <c r="F223" s="18" t="s">
        <v>53</v>
      </c>
      <c r="G223" s="18" t="s">
        <v>54</v>
      </c>
      <c r="H223" s="99" t="s">
        <v>427</v>
      </c>
      <c r="I223" s="18" t="s">
        <v>56</v>
      </c>
      <c r="J223" s="18" t="s">
        <v>57</v>
      </c>
      <c r="K223" s="76">
        <v>801116</v>
      </c>
      <c r="L223" s="78" t="s">
        <v>428</v>
      </c>
      <c r="M223" s="114" t="s">
        <v>59</v>
      </c>
      <c r="N223" s="114" t="s">
        <v>60</v>
      </c>
      <c r="O223" s="77" t="s">
        <v>429</v>
      </c>
      <c r="P223" s="118" t="s">
        <v>776</v>
      </c>
      <c r="Q223" s="115">
        <f>+S223/R223/W223</f>
        <v>9786770.833333334</v>
      </c>
      <c r="R223" s="118">
        <v>8</v>
      </c>
      <c r="S223" s="115">
        <v>939530000</v>
      </c>
      <c r="T223" s="255" t="s">
        <v>777</v>
      </c>
      <c r="U223" s="255" t="s">
        <v>777</v>
      </c>
      <c r="V223" s="119" t="s">
        <v>308</v>
      </c>
      <c r="W223" s="255">
        <v>12</v>
      </c>
      <c r="X223" s="256" t="s">
        <v>778</v>
      </c>
      <c r="Y223" s="130">
        <v>43110</v>
      </c>
      <c r="Z223" s="115">
        <f t="shared" si="32"/>
        <v>939530000</v>
      </c>
      <c r="AA223" s="126"/>
      <c r="AB223" s="372">
        <v>541</v>
      </c>
      <c r="AC223" s="124"/>
      <c r="AD223" s="115"/>
      <c r="AE223" s="126"/>
      <c r="AF223" s="131"/>
      <c r="AG223" s="128"/>
      <c r="AH223" s="126"/>
      <c r="AI223" s="125"/>
      <c r="AJ223" s="128"/>
      <c r="AK223" s="128"/>
      <c r="AL223" s="126"/>
      <c r="AM223" s="126"/>
      <c r="AN223" s="126"/>
      <c r="AO223" s="125" t="s">
        <v>435</v>
      </c>
      <c r="AP223" s="128"/>
      <c r="AQ223" s="128"/>
      <c r="AR223" s="128"/>
      <c r="AS223" s="128"/>
      <c r="AT223" s="128"/>
    </row>
    <row r="224" spans="1:46" ht="77.25" x14ac:dyDescent="0.25">
      <c r="A224" s="114">
        <v>94</v>
      </c>
      <c r="B224" s="114" t="s">
        <v>779</v>
      </c>
      <c r="C224" s="98" t="s">
        <v>424</v>
      </c>
      <c r="D224" s="18" t="s">
        <v>425</v>
      </c>
      <c r="E224" s="114" t="s">
        <v>426</v>
      </c>
      <c r="F224" s="18" t="s">
        <v>53</v>
      </c>
      <c r="G224" s="18" t="s">
        <v>54</v>
      </c>
      <c r="H224" s="99" t="s">
        <v>427</v>
      </c>
      <c r="I224" s="18" t="s">
        <v>56</v>
      </c>
      <c r="J224" s="18" t="s">
        <v>57</v>
      </c>
      <c r="K224" s="76">
        <v>801116</v>
      </c>
      <c r="L224" s="78" t="s">
        <v>428</v>
      </c>
      <c r="M224" s="114" t="s">
        <v>59</v>
      </c>
      <c r="N224" s="114" t="s">
        <v>60</v>
      </c>
      <c r="O224" s="77" t="s">
        <v>429</v>
      </c>
      <c r="P224" s="118" t="s">
        <v>776</v>
      </c>
      <c r="Q224" s="115">
        <f>+S224/W224/R224</f>
        <v>11323916.666666666</v>
      </c>
      <c r="R224" s="118">
        <v>4</v>
      </c>
      <c r="S224" s="117">
        <v>543548000</v>
      </c>
      <c r="T224" s="255" t="s">
        <v>777</v>
      </c>
      <c r="U224" s="255" t="s">
        <v>777</v>
      </c>
      <c r="V224" s="119" t="s">
        <v>308</v>
      </c>
      <c r="W224" s="255">
        <v>12</v>
      </c>
      <c r="X224" s="256" t="s">
        <v>780</v>
      </c>
      <c r="Y224" s="130">
        <v>43110</v>
      </c>
      <c r="Z224" s="115">
        <f t="shared" si="32"/>
        <v>543548000</v>
      </c>
      <c r="AA224" s="126"/>
      <c r="AB224" s="373"/>
      <c r="AC224" s="124"/>
      <c r="AD224" s="115"/>
      <c r="AE224" s="126"/>
      <c r="AF224" s="131"/>
      <c r="AG224" s="128"/>
      <c r="AH224" s="126"/>
      <c r="AI224" s="125"/>
      <c r="AJ224" s="128"/>
      <c r="AK224" s="128"/>
      <c r="AL224" s="126"/>
      <c r="AM224" s="126"/>
      <c r="AN224" s="126"/>
      <c r="AO224" s="125" t="s">
        <v>435</v>
      </c>
      <c r="AP224" s="128"/>
      <c r="AQ224" s="128"/>
      <c r="AR224" s="128"/>
      <c r="AS224" s="128"/>
      <c r="AT224" s="128"/>
    </row>
    <row r="225" spans="1:46" ht="102.75" x14ac:dyDescent="0.25">
      <c r="A225" s="114">
        <v>95</v>
      </c>
      <c r="B225" s="114" t="s">
        <v>781</v>
      </c>
      <c r="C225" s="114" t="s">
        <v>424</v>
      </c>
      <c r="D225" s="114" t="s">
        <v>425</v>
      </c>
      <c r="E225" s="114" t="s">
        <v>453</v>
      </c>
      <c r="F225" s="114" t="s">
        <v>186</v>
      </c>
      <c r="G225" s="114" t="s">
        <v>782</v>
      </c>
      <c r="H225" s="114" t="s">
        <v>298</v>
      </c>
      <c r="I225" s="114" t="s">
        <v>56</v>
      </c>
      <c r="J225" s="114" t="s">
        <v>57</v>
      </c>
      <c r="K225" s="18">
        <v>82101600</v>
      </c>
      <c r="L225" s="18" t="s">
        <v>428</v>
      </c>
      <c r="M225" s="18" t="s">
        <v>59</v>
      </c>
      <c r="N225" s="18" t="s">
        <v>60</v>
      </c>
      <c r="O225" s="77" t="s">
        <v>429</v>
      </c>
      <c r="P225" s="114" t="s">
        <v>783</v>
      </c>
      <c r="Q225" s="115">
        <f>+S225/W225/R225</f>
        <v>5078125</v>
      </c>
      <c r="R225" s="118">
        <v>1</v>
      </c>
      <c r="S225" s="115">
        <f>81250000/2</f>
        <v>40625000</v>
      </c>
      <c r="T225" s="255" t="s">
        <v>784</v>
      </c>
      <c r="U225" s="255" t="s">
        <v>784</v>
      </c>
      <c r="V225" s="119" t="s">
        <v>302</v>
      </c>
      <c r="W225" s="255">
        <v>8</v>
      </c>
      <c r="X225" s="256"/>
      <c r="Y225" s="124"/>
      <c r="Z225" s="115">
        <f t="shared" si="32"/>
        <v>40625000</v>
      </c>
      <c r="AA225" s="126"/>
      <c r="AB225" s="256"/>
      <c r="AC225" s="124"/>
      <c r="AD225" s="115"/>
      <c r="AE225" s="126"/>
      <c r="AF225" s="131"/>
      <c r="AG225" s="128"/>
      <c r="AH225" s="126"/>
      <c r="AI225" s="125"/>
      <c r="AJ225" s="128"/>
      <c r="AK225" s="128"/>
      <c r="AL225" s="126"/>
      <c r="AM225" s="126"/>
      <c r="AN225" s="126"/>
      <c r="AO225" s="125" t="s">
        <v>435</v>
      </c>
      <c r="AP225" s="128"/>
      <c r="AQ225" s="128"/>
      <c r="AR225" s="128"/>
      <c r="AS225" s="128"/>
      <c r="AT225" s="128"/>
    </row>
    <row r="226" spans="1:46" ht="102.75" x14ac:dyDescent="0.25">
      <c r="A226" s="114">
        <v>96</v>
      </c>
      <c r="B226" s="114" t="s">
        <v>785</v>
      </c>
      <c r="C226" s="118" t="s">
        <v>424</v>
      </c>
      <c r="D226" s="118" t="s">
        <v>425</v>
      </c>
      <c r="E226" s="118" t="s">
        <v>453</v>
      </c>
      <c r="F226" s="118" t="s">
        <v>186</v>
      </c>
      <c r="G226" s="118" t="s">
        <v>782</v>
      </c>
      <c r="H226" s="118" t="s">
        <v>298</v>
      </c>
      <c r="I226" s="118" t="s">
        <v>56</v>
      </c>
      <c r="J226" s="118" t="s">
        <v>57</v>
      </c>
      <c r="K226" s="18">
        <v>82101600</v>
      </c>
      <c r="L226" s="18" t="s">
        <v>428</v>
      </c>
      <c r="M226" s="18" t="s">
        <v>59</v>
      </c>
      <c r="N226" s="18" t="s">
        <v>60</v>
      </c>
      <c r="O226" s="77" t="s">
        <v>429</v>
      </c>
      <c r="P226" s="114" t="s">
        <v>783</v>
      </c>
      <c r="Q226" s="115">
        <f>+S226/W226/R226</f>
        <v>10156250</v>
      </c>
      <c r="R226" s="118">
        <v>1</v>
      </c>
      <c r="S226" s="115">
        <f>81250000/2</f>
        <v>40625000</v>
      </c>
      <c r="T226" s="255" t="s">
        <v>784</v>
      </c>
      <c r="U226" s="255" t="s">
        <v>784</v>
      </c>
      <c r="V226" s="119" t="s">
        <v>304</v>
      </c>
      <c r="W226" s="255">
        <v>4</v>
      </c>
      <c r="X226" s="256"/>
      <c r="Y226" s="124"/>
      <c r="Z226" s="115">
        <f t="shared" si="32"/>
        <v>40625000</v>
      </c>
      <c r="AA226" s="126"/>
      <c r="AB226" s="256"/>
      <c r="AC226" s="124"/>
      <c r="AD226" s="115"/>
      <c r="AE226" s="126"/>
      <c r="AF226" s="131"/>
      <c r="AG226" s="128"/>
      <c r="AH226" s="126"/>
      <c r="AI226" s="125"/>
      <c r="AJ226" s="128"/>
      <c r="AK226" s="128"/>
      <c r="AL226" s="126"/>
      <c r="AM226" s="126"/>
      <c r="AN226" s="126"/>
      <c r="AO226" s="125" t="s">
        <v>435</v>
      </c>
      <c r="AP226" s="128"/>
      <c r="AQ226" s="128"/>
      <c r="AR226" s="128"/>
      <c r="AS226" s="128"/>
      <c r="AT226" s="128"/>
    </row>
    <row r="227" spans="1:46" ht="102.75" x14ac:dyDescent="0.25">
      <c r="A227" s="114">
        <v>97</v>
      </c>
      <c r="B227" s="114" t="s">
        <v>786</v>
      </c>
      <c r="C227" s="114" t="s">
        <v>424</v>
      </c>
      <c r="D227" s="114" t="s">
        <v>425</v>
      </c>
      <c r="E227" s="114" t="s">
        <v>426</v>
      </c>
      <c r="F227" s="114" t="s">
        <v>186</v>
      </c>
      <c r="G227" s="114" t="s">
        <v>782</v>
      </c>
      <c r="H227" s="114" t="s">
        <v>298</v>
      </c>
      <c r="I227" s="114" t="s">
        <v>56</v>
      </c>
      <c r="J227" s="114" t="s">
        <v>57</v>
      </c>
      <c r="K227" s="18">
        <v>82101600</v>
      </c>
      <c r="L227" s="18" t="s">
        <v>428</v>
      </c>
      <c r="M227" s="18" t="s">
        <v>59</v>
      </c>
      <c r="N227" s="18" t="s">
        <v>60</v>
      </c>
      <c r="O227" s="77" t="s">
        <v>429</v>
      </c>
      <c r="P227" s="114" t="s">
        <v>783</v>
      </c>
      <c r="Q227" s="115">
        <f>+S227/W227/R227</f>
        <v>5078125</v>
      </c>
      <c r="R227" s="118">
        <v>1</v>
      </c>
      <c r="S227" s="117">
        <f>81250000/2</f>
        <v>40625000</v>
      </c>
      <c r="T227" s="255" t="s">
        <v>784</v>
      </c>
      <c r="U227" s="255" t="s">
        <v>784</v>
      </c>
      <c r="V227" s="119" t="s">
        <v>302</v>
      </c>
      <c r="W227" s="255">
        <v>8</v>
      </c>
      <c r="X227" s="256"/>
      <c r="Y227" s="124"/>
      <c r="Z227" s="115">
        <f t="shared" si="32"/>
        <v>40625000</v>
      </c>
      <c r="AA227" s="126"/>
      <c r="AB227" s="256"/>
      <c r="AC227" s="124"/>
      <c r="AD227" s="115"/>
      <c r="AE227" s="126"/>
      <c r="AF227" s="131"/>
      <c r="AG227" s="128"/>
      <c r="AH227" s="126"/>
      <c r="AI227" s="125"/>
      <c r="AJ227" s="128"/>
      <c r="AK227" s="128"/>
      <c r="AL227" s="126"/>
      <c r="AM227" s="126"/>
      <c r="AN227" s="126"/>
      <c r="AO227" s="125" t="s">
        <v>435</v>
      </c>
      <c r="AP227" s="128"/>
      <c r="AQ227" s="128"/>
      <c r="AR227" s="128"/>
      <c r="AS227" s="128"/>
      <c r="AT227" s="128"/>
    </row>
    <row r="228" spans="1:46" ht="89.25" x14ac:dyDescent="0.25">
      <c r="A228" s="114">
        <v>98</v>
      </c>
      <c r="B228" s="114" t="s">
        <v>787</v>
      </c>
      <c r="C228" s="118" t="s">
        <v>424</v>
      </c>
      <c r="D228" s="118" t="s">
        <v>425</v>
      </c>
      <c r="E228" s="118" t="s">
        <v>426</v>
      </c>
      <c r="F228" s="118" t="s">
        <v>186</v>
      </c>
      <c r="G228" s="118" t="s">
        <v>782</v>
      </c>
      <c r="H228" s="118" t="s">
        <v>298</v>
      </c>
      <c r="I228" s="118" t="s">
        <v>56</v>
      </c>
      <c r="J228" s="118" t="s">
        <v>57</v>
      </c>
      <c r="K228" s="18">
        <v>82101600</v>
      </c>
      <c r="L228" s="18" t="s">
        <v>428</v>
      </c>
      <c r="M228" s="18" t="s">
        <v>59</v>
      </c>
      <c r="N228" s="18" t="s">
        <v>60</v>
      </c>
      <c r="O228" s="77" t="s">
        <v>429</v>
      </c>
      <c r="P228" s="118" t="s">
        <v>788</v>
      </c>
      <c r="Q228" s="115">
        <f>+S228/W228/R228</f>
        <v>10156250</v>
      </c>
      <c r="R228" s="118">
        <v>1</v>
      </c>
      <c r="S228" s="117">
        <f>81250000/2</f>
        <v>40625000</v>
      </c>
      <c r="T228" s="255" t="s">
        <v>784</v>
      </c>
      <c r="U228" s="255" t="s">
        <v>784</v>
      </c>
      <c r="V228" s="119" t="s">
        <v>304</v>
      </c>
      <c r="W228" s="255">
        <v>4</v>
      </c>
      <c r="X228" s="256"/>
      <c r="Y228" s="124"/>
      <c r="Z228" s="115">
        <f t="shared" si="32"/>
        <v>40625000</v>
      </c>
      <c r="AA228" s="126"/>
      <c r="AB228" s="256"/>
      <c r="AC228" s="124"/>
      <c r="AD228" s="115"/>
      <c r="AE228" s="126"/>
      <c r="AF228" s="131"/>
      <c r="AG228" s="128"/>
      <c r="AH228" s="126"/>
      <c r="AI228" s="125"/>
      <c r="AJ228" s="128"/>
      <c r="AK228" s="128"/>
      <c r="AL228" s="126"/>
      <c r="AM228" s="126"/>
      <c r="AN228" s="126"/>
      <c r="AO228" s="125" t="s">
        <v>435</v>
      </c>
      <c r="AP228" s="128"/>
      <c r="AQ228" s="128"/>
      <c r="AR228" s="128"/>
      <c r="AS228" s="128"/>
      <c r="AT228" s="128"/>
    </row>
    <row r="229" spans="1:46" ht="102" x14ac:dyDescent="0.25">
      <c r="A229" s="114">
        <v>99</v>
      </c>
      <c r="B229" s="114" t="s">
        <v>789</v>
      </c>
      <c r="C229" s="114" t="s">
        <v>424</v>
      </c>
      <c r="D229" s="114" t="s">
        <v>425</v>
      </c>
      <c r="E229" s="114" t="s">
        <v>453</v>
      </c>
      <c r="F229" s="114" t="s">
        <v>790</v>
      </c>
      <c r="G229" s="114" t="s">
        <v>791</v>
      </c>
      <c r="H229" s="114" t="s">
        <v>792</v>
      </c>
      <c r="I229" s="114" t="s">
        <v>56</v>
      </c>
      <c r="J229" s="114" t="s">
        <v>57</v>
      </c>
      <c r="K229" s="114" t="s">
        <v>63</v>
      </c>
      <c r="L229" s="136"/>
      <c r="M229" s="114"/>
      <c r="N229" s="114"/>
      <c r="O229" s="77" t="s">
        <v>429</v>
      </c>
      <c r="P229" s="100" t="s">
        <v>793</v>
      </c>
      <c r="Q229" s="115">
        <f>+S229/R229</f>
        <v>66213.833333333328</v>
      </c>
      <c r="R229" s="118">
        <v>1200</v>
      </c>
      <c r="S229" s="115">
        <f>80040000-583400</f>
        <v>79456600</v>
      </c>
      <c r="T229" s="255" t="s">
        <v>777</v>
      </c>
      <c r="U229" s="255" t="s">
        <v>777</v>
      </c>
      <c r="V229" s="119" t="s">
        <v>794</v>
      </c>
      <c r="W229" s="255">
        <v>12</v>
      </c>
      <c r="X229" s="256"/>
      <c r="Y229" s="124"/>
      <c r="Z229" s="115">
        <f t="shared" si="32"/>
        <v>79456600</v>
      </c>
      <c r="AA229" s="126"/>
      <c r="AB229" s="256"/>
      <c r="AC229" s="124"/>
      <c r="AD229" s="115"/>
      <c r="AE229" s="126"/>
      <c r="AF229" s="131"/>
      <c r="AG229" s="128"/>
      <c r="AH229" s="126"/>
      <c r="AI229" s="125"/>
      <c r="AJ229" s="128"/>
      <c r="AK229" s="128"/>
      <c r="AL229" s="126"/>
      <c r="AM229" s="126"/>
      <c r="AN229" s="126"/>
      <c r="AO229" s="125" t="s">
        <v>435</v>
      </c>
      <c r="AP229" s="128"/>
      <c r="AQ229" s="128"/>
      <c r="AR229" s="128"/>
      <c r="AS229" s="128"/>
      <c r="AT229" s="128"/>
    </row>
    <row r="230" spans="1:46" ht="89.25" x14ac:dyDescent="0.25">
      <c r="A230" s="114">
        <v>100</v>
      </c>
      <c r="B230" s="114" t="s">
        <v>795</v>
      </c>
      <c r="C230" s="98" t="s">
        <v>424</v>
      </c>
      <c r="D230" s="18" t="s">
        <v>425</v>
      </c>
      <c r="E230" s="118" t="s">
        <v>453</v>
      </c>
      <c r="F230" s="18" t="s">
        <v>53</v>
      </c>
      <c r="G230" s="18" t="s">
        <v>54</v>
      </c>
      <c r="H230" s="99" t="s">
        <v>427</v>
      </c>
      <c r="I230" s="18" t="s">
        <v>56</v>
      </c>
      <c r="J230" s="18" t="s">
        <v>57</v>
      </c>
      <c r="K230" s="76">
        <v>801116</v>
      </c>
      <c r="L230" s="76" t="s">
        <v>428</v>
      </c>
      <c r="M230" s="114" t="s">
        <v>59</v>
      </c>
      <c r="N230" s="114" t="s">
        <v>60</v>
      </c>
      <c r="O230" s="77" t="s">
        <v>429</v>
      </c>
      <c r="P230" s="137" t="s">
        <v>796</v>
      </c>
      <c r="Q230" s="115">
        <v>3326900</v>
      </c>
      <c r="R230" s="116">
        <v>1</v>
      </c>
      <c r="S230" s="115">
        <f>Q230*11.5</f>
        <v>38259350</v>
      </c>
      <c r="T230" s="255" t="s">
        <v>797</v>
      </c>
      <c r="U230" s="255" t="s">
        <v>68</v>
      </c>
      <c r="V230" s="119" t="s">
        <v>308</v>
      </c>
      <c r="W230" s="255">
        <v>11.5</v>
      </c>
      <c r="X230" s="256" t="s">
        <v>798</v>
      </c>
      <c r="Y230" s="120">
        <v>43115</v>
      </c>
      <c r="Z230" s="121">
        <f t="shared" si="32"/>
        <v>38259350</v>
      </c>
      <c r="AA230" s="256"/>
      <c r="AB230" s="256">
        <v>507</v>
      </c>
      <c r="AC230" s="122">
        <v>43116</v>
      </c>
      <c r="AD230" s="115">
        <f>Z230</f>
        <v>38259350</v>
      </c>
      <c r="AE230" s="123">
        <f t="shared" ref="AE230:AE236" si="34">AD230-AL230</f>
        <v>0</v>
      </c>
      <c r="AF230" s="124">
        <v>437</v>
      </c>
      <c r="AG230" s="122">
        <v>43125</v>
      </c>
      <c r="AH230" s="123">
        <f>AD230</f>
        <v>38259350</v>
      </c>
      <c r="AI230" s="125" t="s">
        <v>799</v>
      </c>
      <c r="AJ230" s="256">
        <v>310</v>
      </c>
      <c r="AK230" s="126"/>
      <c r="AL230" s="123">
        <f t="shared" ref="AL230:AL236" si="35">AH230</f>
        <v>38259350</v>
      </c>
      <c r="AM230" s="123">
        <v>7208283</v>
      </c>
      <c r="AN230" s="123">
        <f t="shared" ref="AN230:AN238" si="36">AL230-AM230</f>
        <v>31051067</v>
      </c>
      <c r="AO230" s="125" t="s">
        <v>435</v>
      </c>
      <c r="AP230" s="128"/>
      <c r="AQ230" s="128"/>
      <c r="AR230" s="128"/>
      <c r="AS230" s="128"/>
      <c r="AT230" s="128"/>
    </row>
    <row r="231" spans="1:46" ht="127.5" x14ac:dyDescent="0.25">
      <c r="A231" s="138">
        <f t="shared" ref="A231:A260" si="37">A230+1</f>
        <v>101</v>
      </c>
      <c r="B231" s="114" t="s">
        <v>800</v>
      </c>
      <c r="C231" s="98" t="s">
        <v>424</v>
      </c>
      <c r="D231" s="18" t="s">
        <v>425</v>
      </c>
      <c r="E231" s="118" t="s">
        <v>453</v>
      </c>
      <c r="F231" s="18" t="s">
        <v>53</v>
      </c>
      <c r="G231" s="18" t="s">
        <v>54</v>
      </c>
      <c r="H231" s="99" t="s">
        <v>427</v>
      </c>
      <c r="I231" s="18" t="s">
        <v>56</v>
      </c>
      <c r="J231" s="18" t="s">
        <v>57</v>
      </c>
      <c r="K231" s="76">
        <v>801117</v>
      </c>
      <c r="L231" s="76" t="s">
        <v>428</v>
      </c>
      <c r="M231" s="114" t="s">
        <v>801</v>
      </c>
      <c r="N231" s="114" t="s">
        <v>802</v>
      </c>
      <c r="O231" s="77" t="s">
        <v>803</v>
      </c>
      <c r="P231" s="137" t="s">
        <v>804</v>
      </c>
      <c r="Q231" s="115">
        <v>3326900</v>
      </c>
      <c r="R231" s="116">
        <v>1</v>
      </c>
      <c r="S231" s="115">
        <v>38259350</v>
      </c>
      <c r="T231" s="255" t="s">
        <v>797</v>
      </c>
      <c r="U231" s="255" t="s">
        <v>68</v>
      </c>
      <c r="V231" s="119" t="s">
        <v>308</v>
      </c>
      <c r="W231" s="255">
        <v>11.5</v>
      </c>
      <c r="X231" s="256" t="s">
        <v>805</v>
      </c>
      <c r="Y231" s="120">
        <v>43115</v>
      </c>
      <c r="Z231" s="121">
        <f t="shared" si="32"/>
        <v>38259350</v>
      </c>
      <c r="AA231" s="256"/>
      <c r="AB231" s="256">
        <v>506</v>
      </c>
      <c r="AC231" s="122">
        <v>43116</v>
      </c>
      <c r="AD231" s="115">
        <v>38259350</v>
      </c>
      <c r="AE231" s="123">
        <f t="shared" si="34"/>
        <v>0</v>
      </c>
      <c r="AF231" s="124">
        <v>324</v>
      </c>
      <c r="AG231" s="122">
        <v>43123</v>
      </c>
      <c r="AH231" s="123">
        <f>AD231</f>
        <v>38259350</v>
      </c>
      <c r="AI231" s="125" t="s">
        <v>806</v>
      </c>
      <c r="AJ231" s="256">
        <v>285</v>
      </c>
      <c r="AK231" s="126"/>
      <c r="AL231" s="123">
        <f t="shared" si="35"/>
        <v>38259350</v>
      </c>
      <c r="AM231" s="123">
        <v>7540973</v>
      </c>
      <c r="AN231" s="123">
        <f t="shared" si="36"/>
        <v>30718377</v>
      </c>
      <c r="AO231" s="125" t="s">
        <v>435</v>
      </c>
      <c r="AP231" s="128"/>
      <c r="AQ231" s="128"/>
      <c r="AR231" s="128"/>
      <c r="AS231" s="128"/>
      <c r="AT231" s="128"/>
    </row>
    <row r="232" spans="1:46" ht="89.25" x14ac:dyDescent="0.25">
      <c r="A232" s="138">
        <f t="shared" si="37"/>
        <v>102</v>
      </c>
      <c r="B232" s="114" t="s">
        <v>807</v>
      </c>
      <c r="C232" s="98" t="s">
        <v>424</v>
      </c>
      <c r="D232" s="18" t="s">
        <v>425</v>
      </c>
      <c r="E232" s="114" t="s">
        <v>426</v>
      </c>
      <c r="F232" s="18" t="s">
        <v>53</v>
      </c>
      <c r="G232" s="18" t="s">
        <v>54</v>
      </c>
      <c r="H232" s="99" t="s">
        <v>427</v>
      </c>
      <c r="I232" s="18" t="s">
        <v>56</v>
      </c>
      <c r="J232" s="18" t="s">
        <v>57</v>
      </c>
      <c r="K232" s="76">
        <v>801116</v>
      </c>
      <c r="L232" s="76" t="s">
        <v>428</v>
      </c>
      <c r="M232" s="114" t="s">
        <v>59</v>
      </c>
      <c r="N232" s="114" t="s">
        <v>60</v>
      </c>
      <c r="O232" s="77" t="s">
        <v>429</v>
      </c>
      <c r="P232" s="137" t="s">
        <v>739</v>
      </c>
      <c r="Q232" s="115">
        <v>5665000</v>
      </c>
      <c r="R232" s="116">
        <v>1</v>
      </c>
      <c r="S232" s="117">
        <v>17767500</v>
      </c>
      <c r="T232" s="255" t="s">
        <v>797</v>
      </c>
      <c r="U232" s="255" t="s">
        <v>432</v>
      </c>
      <c r="V232" s="119" t="s">
        <v>308</v>
      </c>
      <c r="W232" s="255">
        <v>11.5</v>
      </c>
      <c r="X232" s="256" t="s">
        <v>808</v>
      </c>
      <c r="Y232" s="120">
        <v>43115</v>
      </c>
      <c r="Z232" s="121">
        <f t="shared" si="32"/>
        <v>17767500</v>
      </c>
      <c r="AA232" s="256" t="s">
        <v>809</v>
      </c>
      <c r="AB232" s="256">
        <v>501</v>
      </c>
      <c r="AC232" s="122">
        <v>43116</v>
      </c>
      <c r="AD232" s="115">
        <v>17767500</v>
      </c>
      <c r="AE232" s="123">
        <f t="shared" si="34"/>
        <v>0</v>
      </c>
      <c r="AF232" s="124">
        <v>362</v>
      </c>
      <c r="AG232" s="122">
        <v>43123</v>
      </c>
      <c r="AH232" s="123">
        <f>AD232</f>
        <v>17767500</v>
      </c>
      <c r="AI232" s="125" t="s">
        <v>741</v>
      </c>
      <c r="AJ232" s="256">
        <v>303</v>
      </c>
      <c r="AK232" s="126"/>
      <c r="AL232" s="123">
        <f t="shared" si="35"/>
        <v>17767500</v>
      </c>
      <c r="AM232" s="123">
        <v>11330000</v>
      </c>
      <c r="AN232" s="123">
        <f t="shared" si="36"/>
        <v>6437500</v>
      </c>
      <c r="AO232" s="125" t="s">
        <v>435</v>
      </c>
      <c r="AP232" s="128"/>
      <c r="AQ232" s="128"/>
      <c r="AR232" s="128"/>
      <c r="AS232" s="128"/>
      <c r="AT232" s="128"/>
    </row>
    <row r="233" spans="1:46" ht="127.5" x14ac:dyDescent="0.25">
      <c r="A233" s="126">
        <f t="shared" si="37"/>
        <v>103</v>
      </c>
      <c r="B233" s="114" t="s">
        <v>810</v>
      </c>
      <c r="C233" s="98" t="s">
        <v>424</v>
      </c>
      <c r="D233" s="18" t="s">
        <v>425</v>
      </c>
      <c r="E233" s="114" t="s">
        <v>453</v>
      </c>
      <c r="F233" s="18" t="s">
        <v>53</v>
      </c>
      <c r="G233" s="18" t="s">
        <v>54</v>
      </c>
      <c r="H233" s="99" t="s">
        <v>427</v>
      </c>
      <c r="I233" s="18" t="s">
        <v>56</v>
      </c>
      <c r="J233" s="18" t="s">
        <v>57</v>
      </c>
      <c r="K233" s="76">
        <v>801116</v>
      </c>
      <c r="L233" s="76" t="s">
        <v>428</v>
      </c>
      <c r="M233" s="114" t="s">
        <v>59</v>
      </c>
      <c r="N233" s="114" t="s">
        <v>60</v>
      </c>
      <c r="O233" s="77" t="s">
        <v>429</v>
      </c>
      <c r="P233" s="137" t="s">
        <v>811</v>
      </c>
      <c r="Q233" s="115">
        <v>2472000</v>
      </c>
      <c r="R233" s="116">
        <v>1</v>
      </c>
      <c r="S233" s="115">
        <v>27192000</v>
      </c>
      <c r="T233" s="255" t="s">
        <v>797</v>
      </c>
      <c r="U233" s="255" t="s">
        <v>432</v>
      </c>
      <c r="V233" s="119" t="s">
        <v>308</v>
      </c>
      <c r="W233" s="255">
        <v>11</v>
      </c>
      <c r="X233" s="256" t="s">
        <v>812</v>
      </c>
      <c r="Y233" s="120">
        <v>43122</v>
      </c>
      <c r="Z233" s="121">
        <f t="shared" si="32"/>
        <v>27192000</v>
      </c>
      <c r="AA233" s="256" t="s">
        <v>771</v>
      </c>
      <c r="AB233" s="256">
        <v>555</v>
      </c>
      <c r="AC233" s="122">
        <v>43122</v>
      </c>
      <c r="AD233" s="115">
        <v>27192000</v>
      </c>
      <c r="AE233" s="123">
        <f t="shared" si="34"/>
        <v>7931000</v>
      </c>
      <c r="AF233" s="124">
        <v>464</v>
      </c>
      <c r="AG233" s="122">
        <v>43126</v>
      </c>
      <c r="AH233" s="115">
        <v>19261000</v>
      </c>
      <c r="AI233" s="125" t="s">
        <v>813</v>
      </c>
      <c r="AJ233" s="256">
        <v>391</v>
      </c>
      <c r="AK233" s="126"/>
      <c r="AL233" s="123">
        <f t="shared" si="35"/>
        <v>19261000</v>
      </c>
      <c r="AM233" s="123">
        <v>3618734</v>
      </c>
      <c r="AN233" s="123">
        <f t="shared" si="36"/>
        <v>15642266</v>
      </c>
      <c r="AO233" s="125" t="s">
        <v>435</v>
      </c>
      <c r="AP233" s="128"/>
      <c r="AQ233" s="128"/>
      <c r="AR233" s="128"/>
      <c r="AS233" s="128"/>
      <c r="AT233" s="128"/>
    </row>
    <row r="234" spans="1:46" ht="77.25" x14ac:dyDescent="0.25">
      <c r="A234" s="126">
        <f t="shared" si="37"/>
        <v>104</v>
      </c>
      <c r="B234" s="114" t="s">
        <v>814</v>
      </c>
      <c r="C234" s="98" t="s">
        <v>424</v>
      </c>
      <c r="D234" s="18" t="s">
        <v>425</v>
      </c>
      <c r="E234" s="118" t="s">
        <v>453</v>
      </c>
      <c r="F234" s="18" t="s">
        <v>53</v>
      </c>
      <c r="G234" s="18" t="s">
        <v>54</v>
      </c>
      <c r="H234" s="99" t="s">
        <v>427</v>
      </c>
      <c r="I234" s="18" t="s">
        <v>56</v>
      </c>
      <c r="J234" s="18" t="s">
        <v>57</v>
      </c>
      <c r="K234" s="76">
        <v>801116</v>
      </c>
      <c r="L234" s="76" t="s">
        <v>428</v>
      </c>
      <c r="M234" s="114" t="s">
        <v>59</v>
      </c>
      <c r="N234" s="114" t="s">
        <v>60</v>
      </c>
      <c r="O234" s="77" t="s">
        <v>429</v>
      </c>
      <c r="P234" s="137" t="s">
        <v>815</v>
      </c>
      <c r="Q234" s="115">
        <v>3399000</v>
      </c>
      <c r="R234" s="116">
        <v>1</v>
      </c>
      <c r="S234" s="115">
        <v>37389000</v>
      </c>
      <c r="T234" s="255" t="s">
        <v>533</v>
      </c>
      <c r="U234" s="255" t="s">
        <v>432</v>
      </c>
      <c r="V234" s="119" t="s">
        <v>308</v>
      </c>
      <c r="W234" s="255">
        <v>11</v>
      </c>
      <c r="X234" s="256" t="s">
        <v>816</v>
      </c>
      <c r="Y234" s="120">
        <v>43122</v>
      </c>
      <c r="Z234" s="121">
        <f t="shared" si="32"/>
        <v>37389000</v>
      </c>
      <c r="AA234" s="256" t="s">
        <v>771</v>
      </c>
      <c r="AB234" s="256">
        <v>556</v>
      </c>
      <c r="AC234" s="122">
        <v>43122</v>
      </c>
      <c r="AD234" s="115">
        <v>37389000</v>
      </c>
      <c r="AE234" s="123">
        <f t="shared" si="34"/>
        <v>0</v>
      </c>
      <c r="AF234" s="124">
        <v>475</v>
      </c>
      <c r="AG234" s="122">
        <v>43126</v>
      </c>
      <c r="AH234" s="139">
        <f>Z234</f>
        <v>37389000</v>
      </c>
      <c r="AI234" s="125" t="s">
        <v>817</v>
      </c>
      <c r="AJ234" s="256">
        <v>401</v>
      </c>
      <c r="AK234" s="126"/>
      <c r="AL234" s="123">
        <f t="shared" si="35"/>
        <v>37389000</v>
      </c>
      <c r="AM234" s="123">
        <v>7024600</v>
      </c>
      <c r="AN234" s="123">
        <f t="shared" si="36"/>
        <v>30364400</v>
      </c>
      <c r="AO234" s="125" t="s">
        <v>435</v>
      </c>
      <c r="AP234" s="128"/>
      <c r="AQ234" s="128"/>
      <c r="AR234" s="128"/>
      <c r="AS234" s="128"/>
      <c r="AT234" s="128"/>
    </row>
    <row r="235" spans="1:46" ht="140.25" x14ac:dyDescent="0.25">
      <c r="A235" s="126">
        <f t="shared" si="37"/>
        <v>105</v>
      </c>
      <c r="B235" s="114" t="s">
        <v>818</v>
      </c>
      <c r="C235" s="114" t="s">
        <v>424</v>
      </c>
      <c r="D235" s="114" t="s">
        <v>425</v>
      </c>
      <c r="E235" s="114" t="s">
        <v>426</v>
      </c>
      <c r="F235" s="114" t="s">
        <v>53</v>
      </c>
      <c r="G235" s="114" t="s">
        <v>782</v>
      </c>
      <c r="H235" s="99" t="s">
        <v>427</v>
      </c>
      <c r="I235" s="114" t="s">
        <v>56</v>
      </c>
      <c r="J235" s="114" t="s">
        <v>57</v>
      </c>
      <c r="K235" s="18">
        <v>82101600</v>
      </c>
      <c r="L235" s="18" t="s">
        <v>428</v>
      </c>
      <c r="M235" s="18" t="s">
        <v>59</v>
      </c>
      <c r="N235" s="18" t="s">
        <v>60</v>
      </c>
      <c r="O235" s="77" t="s">
        <v>429</v>
      </c>
      <c r="P235" s="137" t="s">
        <v>819</v>
      </c>
      <c r="Q235" s="115">
        <v>10000000</v>
      </c>
      <c r="R235" s="116">
        <v>1</v>
      </c>
      <c r="S235" s="117">
        <v>60000000</v>
      </c>
      <c r="T235" s="255" t="s">
        <v>431</v>
      </c>
      <c r="U235" s="255" t="s">
        <v>432</v>
      </c>
      <c r="V235" s="119" t="s">
        <v>308</v>
      </c>
      <c r="W235" s="255">
        <v>6</v>
      </c>
      <c r="X235" s="256" t="s">
        <v>820</v>
      </c>
      <c r="Y235" s="120">
        <v>43126</v>
      </c>
      <c r="Z235" s="121">
        <f t="shared" si="32"/>
        <v>60000000</v>
      </c>
      <c r="AA235" s="256" t="s">
        <v>771</v>
      </c>
      <c r="AB235" s="256">
        <v>571</v>
      </c>
      <c r="AC235" s="122">
        <v>43126</v>
      </c>
      <c r="AD235" s="115">
        <v>60000000</v>
      </c>
      <c r="AE235" s="123">
        <f t="shared" si="34"/>
        <v>0</v>
      </c>
      <c r="AF235" s="124">
        <v>508</v>
      </c>
      <c r="AG235" s="122">
        <v>43129</v>
      </c>
      <c r="AH235" s="123">
        <f>AD235</f>
        <v>60000000</v>
      </c>
      <c r="AI235" s="125" t="s">
        <v>821</v>
      </c>
      <c r="AJ235" s="256">
        <v>427</v>
      </c>
      <c r="AK235" s="126"/>
      <c r="AL235" s="123">
        <f t="shared" si="35"/>
        <v>60000000</v>
      </c>
      <c r="AM235" s="123">
        <v>20000000</v>
      </c>
      <c r="AN235" s="123">
        <f t="shared" si="36"/>
        <v>40000000</v>
      </c>
      <c r="AO235" s="125" t="s">
        <v>435</v>
      </c>
      <c r="AP235" s="128"/>
      <c r="AQ235" s="128"/>
      <c r="AR235" s="128"/>
      <c r="AS235" s="128"/>
      <c r="AT235" s="128"/>
    </row>
    <row r="236" spans="1:46" ht="90" x14ac:dyDescent="0.25">
      <c r="A236" s="126">
        <f t="shared" si="37"/>
        <v>106</v>
      </c>
      <c r="B236" s="114" t="s">
        <v>822</v>
      </c>
      <c r="C236" s="114" t="s">
        <v>424</v>
      </c>
      <c r="D236" s="114" t="s">
        <v>425</v>
      </c>
      <c r="E236" s="114" t="s">
        <v>453</v>
      </c>
      <c r="F236" s="114" t="s">
        <v>53</v>
      </c>
      <c r="G236" s="114" t="s">
        <v>782</v>
      </c>
      <c r="H236" s="99" t="s">
        <v>427</v>
      </c>
      <c r="I236" s="114" t="s">
        <v>56</v>
      </c>
      <c r="J236" s="114" t="s">
        <v>57</v>
      </c>
      <c r="K236" s="18">
        <v>82101600</v>
      </c>
      <c r="L236" s="18" t="s">
        <v>428</v>
      </c>
      <c r="M236" s="18" t="s">
        <v>59</v>
      </c>
      <c r="N236" s="18" t="s">
        <v>60</v>
      </c>
      <c r="O236" s="77" t="s">
        <v>429</v>
      </c>
      <c r="P236" s="137" t="s">
        <v>823</v>
      </c>
      <c r="Q236" s="115">
        <v>3553500</v>
      </c>
      <c r="R236" s="116">
        <v>1</v>
      </c>
      <c r="S236" s="115">
        <f>Q236*11</f>
        <v>39088500</v>
      </c>
      <c r="T236" s="255" t="s">
        <v>797</v>
      </c>
      <c r="U236" s="255" t="s">
        <v>432</v>
      </c>
      <c r="V236" s="119" t="s">
        <v>308</v>
      </c>
      <c r="W236" s="255">
        <v>11</v>
      </c>
      <c r="X236" s="256" t="s">
        <v>824</v>
      </c>
      <c r="Y236" s="120">
        <v>43106</v>
      </c>
      <c r="Z236" s="121">
        <f t="shared" si="32"/>
        <v>39088500</v>
      </c>
      <c r="AA236" s="256" t="s">
        <v>771</v>
      </c>
      <c r="AB236" s="256">
        <v>588</v>
      </c>
      <c r="AC236" s="122">
        <v>43126</v>
      </c>
      <c r="AD236" s="115">
        <v>39088500</v>
      </c>
      <c r="AE236" s="123">
        <f t="shared" si="34"/>
        <v>0</v>
      </c>
      <c r="AF236" s="124">
        <v>507</v>
      </c>
      <c r="AG236" s="122">
        <v>43126</v>
      </c>
      <c r="AH236" s="123">
        <f>AD236</f>
        <v>39088500</v>
      </c>
      <c r="AI236" s="125" t="s">
        <v>825</v>
      </c>
      <c r="AJ236" s="256">
        <v>428</v>
      </c>
      <c r="AK236" s="126"/>
      <c r="AL236" s="123">
        <f t="shared" si="35"/>
        <v>39088500</v>
      </c>
      <c r="AM236" s="123">
        <v>7107000</v>
      </c>
      <c r="AN236" s="123">
        <f t="shared" si="36"/>
        <v>31981500</v>
      </c>
      <c r="AO236" s="125" t="s">
        <v>435</v>
      </c>
      <c r="AP236" s="128"/>
      <c r="AQ236" s="128"/>
      <c r="AR236" s="128"/>
      <c r="AS236" s="128"/>
      <c r="AT236" s="128"/>
    </row>
    <row r="237" spans="1:46" ht="102" x14ac:dyDescent="0.25">
      <c r="A237" s="126">
        <f t="shared" si="37"/>
        <v>107</v>
      </c>
      <c r="B237" s="114" t="s">
        <v>826</v>
      </c>
      <c r="C237" s="114" t="s">
        <v>424</v>
      </c>
      <c r="D237" s="114" t="s">
        <v>425</v>
      </c>
      <c r="E237" s="114" t="s">
        <v>453</v>
      </c>
      <c r="F237" s="114" t="s">
        <v>790</v>
      </c>
      <c r="G237" s="114" t="s">
        <v>791</v>
      </c>
      <c r="H237" s="114" t="s">
        <v>792</v>
      </c>
      <c r="I237" s="114" t="s">
        <v>56</v>
      </c>
      <c r="J237" s="114" t="s">
        <v>57</v>
      </c>
      <c r="K237" s="114" t="s">
        <v>63</v>
      </c>
      <c r="L237" s="140"/>
      <c r="M237" s="114"/>
      <c r="N237" s="114"/>
      <c r="O237" s="77" t="s">
        <v>429</v>
      </c>
      <c r="P237" s="137" t="s">
        <v>827</v>
      </c>
      <c r="Q237" s="134">
        <v>0</v>
      </c>
      <c r="R237" s="118">
        <v>1</v>
      </c>
      <c r="S237" s="115">
        <v>583400</v>
      </c>
      <c r="T237" s="255" t="s">
        <v>777</v>
      </c>
      <c r="U237" s="118" t="s">
        <v>777</v>
      </c>
      <c r="V237" s="119" t="s">
        <v>308</v>
      </c>
      <c r="W237" s="253" t="s">
        <v>63</v>
      </c>
      <c r="X237" s="256" t="s">
        <v>828</v>
      </c>
      <c r="Y237" s="135">
        <v>43139</v>
      </c>
      <c r="Z237" s="141">
        <f>S237</f>
        <v>583400</v>
      </c>
      <c r="AA237" s="142" t="s">
        <v>789</v>
      </c>
      <c r="AB237" s="258">
        <v>640</v>
      </c>
      <c r="AC237" s="143">
        <v>43140</v>
      </c>
      <c r="AD237" s="144">
        <v>583400</v>
      </c>
      <c r="AE237" s="145"/>
      <c r="AF237" s="146">
        <v>1029</v>
      </c>
      <c r="AG237" s="143">
        <v>43143</v>
      </c>
      <c r="AH237" s="144">
        <v>169300</v>
      </c>
      <c r="AI237" s="147" t="s">
        <v>829</v>
      </c>
      <c r="AJ237" s="145">
        <v>1127</v>
      </c>
      <c r="AK237" s="145"/>
      <c r="AL237" s="141">
        <v>169300</v>
      </c>
      <c r="AM237" s="141">
        <v>169300</v>
      </c>
      <c r="AN237" s="148">
        <f t="shared" si="36"/>
        <v>0</v>
      </c>
      <c r="AO237" s="125" t="s">
        <v>435</v>
      </c>
      <c r="AP237" s="149">
        <f>AD237-AL237-AL238</f>
        <v>47200</v>
      </c>
      <c r="AQ237" s="145"/>
      <c r="AR237" s="145"/>
      <c r="AS237" s="145"/>
      <c r="AT237" s="145"/>
    </row>
    <row r="238" spans="1:46" ht="102" x14ac:dyDescent="0.25">
      <c r="A238" s="126">
        <f t="shared" si="37"/>
        <v>108</v>
      </c>
      <c r="B238" s="114" t="s">
        <v>830</v>
      </c>
      <c r="C238" s="118" t="s">
        <v>424</v>
      </c>
      <c r="D238" s="118" t="s">
        <v>425</v>
      </c>
      <c r="E238" s="118" t="s">
        <v>453</v>
      </c>
      <c r="F238" s="118" t="s">
        <v>790</v>
      </c>
      <c r="G238" s="118" t="s">
        <v>791</v>
      </c>
      <c r="H238" s="118" t="s">
        <v>792</v>
      </c>
      <c r="I238" s="118" t="s">
        <v>56</v>
      </c>
      <c r="J238" s="118" t="s">
        <v>57</v>
      </c>
      <c r="K238" s="118" t="s">
        <v>63</v>
      </c>
      <c r="L238" s="150"/>
      <c r="M238" s="118"/>
      <c r="N238" s="118"/>
      <c r="O238" s="77" t="s">
        <v>429</v>
      </c>
      <c r="P238" s="137" t="s">
        <v>827</v>
      </c>
      <c r="Q238" s="128"/>
      <c r="R238" s="128"/>
      <c r="S238" s="128"/>
      <c r="T238" s="255" t="s">
        <v>777</v>
      </c>
      <c r="U238" s="118" t="s">
        <v>777</v>
      </c>
      <c r="V238" s="119" t="s">
        <v>308</v>
      </c>
      <c r="W238" s="253" t="s">
        <v>63</v>
      </c>
      <c r="X238" s="256" t="s">
        <v>828</v>
      </c>
      <c r="Y238" s="135">
        <v>43139</v>
      </c>
      <c r="Z238" s="128"/>
      <c r="AA238" s="134" t="s">
        <v>789</v>
      </c>
      <c r="AB238" s="253">
        <v>640</v>
      </c>
      <c r="AC238" s="135">
        <v>43140</v>
      </c>
      <c r="AD238" s="151"/>
      <c r="AE238" s="128"/>
      <c r="AF238" s="131">
        <v>1028</v>
      </c>
      <c r="AG238" s="135">
        <v>43143</v>
      </c>
      <c r="AH238" s="152">
        <v>366900</v>
      </c>
      <c r="AI238" s="153" t="s">
        <v>831</v>
      </c>
      <c r="AJ238" s="128">
        <v>1127</v>
      </c>
      <c r="AK238" s="128"/>
      <c r="AL238" s="115">
        <f>AH238</f>
        <v>366900</v>
      </c>
      <c r="AM238" s="115">
        <f>AL238</f>
        <v>366900</v>
      </c>
      <c r="AN238" s="129">
        <f t="shared" si="36"/>
        <v>0</v>
      </c>
      <c r="AO238" s="125" t="s">
        <v>435</v>
      </c>
      <c r="AP238" s="128"/>
      <c r="AQ238" s="128"/>
      <c r="AR238" s="128"/>
      <c r="AS238" s="128"/>
      <c r="AT238" s="128"/>
    </row>
    <row r="239" spans="1:46" ht="77.25" x14ac:dyDescent="0.25">
      <c r="A239" s="126">
        <f t="shared" si="37"/>
        <v>109</v>
      </c>
      <c r="B239" s="114" t="s">
        <v>832</v>
      </c>
      <c r="C239" s="98" t="s">
        <v>424</v>
      </c>
      <c r="D239" s="18" t="s">
        <v>833</v>
      </c>
      <c r="E239" s="114" t="s">
        <v>453</v>
      </c>
      <c r="F239" s="18" t="s">
        <v>186</v>
      </c>
      <c r="G239" s="18" t="s">
        <v>187</v>
      </c>
      <c r="H239" s="18" t="s">
        <v>834</v>
      </c>
      <c r="I239" s="18" t="s">
        <v>56</v>
      </c>
      <c r="J239" s="18" t="s">
        <v>57</v>
      </c>
      <c r="K239" s="18">
        <v>84131501</v>
      </c>
      <c r="L239" s="80" t="s">
        <v>428</v>
      </c>
      <c r="M239" s="118" t="s">
        <v>59</v>
      </c>
      <c r="N239" s="114" t="s">
        <v>60</v>
      </c>
      <c r="O239" s="77" t="s">
        <v>429</v>
      </c>
      <c r="P239" s="118" t="s">
        <v>835</v>
      </c>
      <c r="Q239" s="253" t="s">
        <v>63</v>
      </c>
      <c r="R239" s="253" t="s">
        <v>63</v>
      </c>
      <c r="S239" s="115">
        <v>30000000</v>
      </c>
      <c r="T239" s="255" t="s">
        <v>777</v>
      </c>
      <c r="U239" s="118" t="s">
        <v>777</v>
      </c>
      <c r="V239" s="119" t="s">
        <v>836</v>
      </c>
      <c r="W239" s="255">
        <v>6</v>
      </c>
      <c r="X239" s="128"/>
      <c r="Y239" s="128"/>
      <c r="Z239" s="128"/>
      <c r="AA239" s="128"/>
      <c r="AB239" s="128"/>
      <c r="AC239" s="128"/>
      <c r="AD239" s="151"/>
      <c r="AE239" s="128"/>
      <c r="AF239" s="131"/>
      <c r="AG239" s="128"/>
      <c r="AH239" s="128"/>
      <c r="AI239" s="128"/>
      <c r="AJ239" s="128"/>
      <c r="AK239" s="128"/>
      <c r="AL239" s="126"/>
      <c r="AM239" s="126"/>
      <c r="AN239" s="126"/>
      <c r="AO239" s="125" t="s">
        <v>435</v>
      </c>
      <c r="AP239" s="128"/>
      <c r="AQ239" s="128"/>
      <c r="AR239" s="128"/>
      <c r="AS239" s="128"/>
      <c r="AT239" s="128"/>
    </row>
    <row r="240" spans="1:46" ht="77.25" x14ac:dyDescent="0.25">
      <c r="A240" s="126">
        <f t="shared" si="37"/>
        <v>110</v>
      </c>
      <c r="B240" s="114" t="s">
        <v>837</v>
      </c>
      <c r="C240" s="98" t="s">
        <v>424</v>
      </c>
      <c r="D240" s="18" t="s">
        <v>425</v>
      </c>
      <c r="E240" s="114" t="s">
        <v>426</v>
      </c>
      <c r="F240" s="18" t="s">
        <v>186</v>
      </c>
      <c r="G240" s="18" t="s">
        <v>187</v>
      </c>
      <c r="H240" s="18" t="s">
        <v>834</v>
      </c>
      <c r="I240" s="18" t="s">
        <v>56</v>
      </c>
      <c r="J240" s="18" t="s">
        <v>57</v>
      </c>
      <c r="K240" s="18">
        <v>84131501</v>
      </c>
      <c r="L240" s="80" t="s">
        <v>428</v>
      </c>
      <c r="M240" s="118" t="s">
        <v>59</v>
      </c>
      <c r="N240" s="114" t="s">
        <v>60</v>
      </c>
      <c r="O240" s="77" t="s">
        <v>429</v>
      </c>
      <c r="P240" s="118" t="s">
        <v>838</v>
      </c>
      <c r="Q240" s="253" t="s">
        <v>63</v>
      </c>
      <c r="R240" s="253" t="s">
        <v>63</v>
      </c>
      <c r="S240" s="154">
        <f>30000000-12000000-14056087</f>
        <v>3943913</v>
      </c>
      <c r="T240" s="255" t="s">
        <v>777</v>
      </c>
      <c r="U240" s="118" t="s">
        <v>777</v>
      </c>
      <c r="V240" s="119" t="s">
        <v>836</v>
      </c>
      <c r="W240" s="255">
        <v>6</v>
      </c>
      <c r="X240" s="128"/>
      <c r="Y240" s="128"/>
      <c r="Z240" s="128"/>
      <c r="AA240" s="128"/>
      <c r="AB240" s="128"/>
      <c r="AC240" s="128"/>
      <c r="AD240" s="151"/>
      <c r="AE240" s="128"/>
      <c r="AF240" s="131"/>
      <c r="AG240" s="128"/>
      <c r="AH240" s="128"/>
      <c r="AI240" s="128"/>
      <c r="AJ240" s="127"/>
      <c r="AK240" s="128"/>
      <c r="AL240" s="126"/>
      <c r="AM240" s="126"/>
      <c r="AN240" s="126"/>
      <c r="AO240" s="125" t="s">
        <v>435</v>
      </c>
      <c r="AP240" s="128"/>
      <c r="AQ240" s="128"/>
      <c r="AR240" s="128"/>
      <c r="AS240" s="128"/>
      <c r="AT240" s="128"/>
    </row>
    <row r="241" spans="1:46" ht="77.25" x14ac:dyDescent="0.25">
      <c r="A241" s="126">
        <f t="shared" si="37"/>
        <v>111</v>
      </c>
      <c r="B241" s="114" t="s">
        <v>839</v>
      </c>
      <c r="C241" s="98" t="s">
        <v>424</v>
      </c>
      <c r="D241" s="18" t="s">
        <v>425</v>
      </c>
      <c r="E241" s="18" t="s">
        <v>749</v>
      </c>
      <c r="F241" s="18" t="s">
        <v>186</v>
      </c>
      <c r="G241" s="18" t="s">
        <v>187</v>
      </c>
      <c r="H241" s="18" t="s">
        <v>834</v>
      </c>
      <c r="I241" s="18" t="s">
        <v>56</v>
      </c>
      <c r="J241" s="18" t="s">
        <v>57</v>
      </c>
      <c r="K241" s="18">
        <v>84131501</v>
      </c>
      <c r="L241" s="80" t="s">
        <v>428</v>
      </c>
      <c r="M241" s="118" t="s">
        <v>59</v>
      </c>
      <c r="N241" s="114" t="s">
        <v>60</v>
      </c>
      <c r="O241" s="77" t="s">
        <v>429</v>
      </c>
      <c r="P241" s="118" t="s">
        <v>840</v>
      </c>
      <c r="Q241" s="253" t="s">
        <v>63</v>
      </c>
      <c r="R241" s="253" t="s">
        <v>63</v>
      </c>
      <c r="S241" s="115">
        <f>30000000-300000-4000000-119276-1047000</f>
        <v>24533724</v>
      </c>
      <c r="T241" s="255" t="s">
        <v>777</v>
      </c>
      <c r="U241" s="118" t="s">
        <v>777</v>
      </c>
      <c r="V241" s="119" t="s">
        <v>836</v>
      </c>
      <c r="W241" s="255">
        <v>6</v>
      </c>
      <c r="X241" s="128"/>
      <c r="Y241" s="128"/>
      <c r="Z241" s="128"/>
      <c r="AA241" s="128"/>
      <c r="AB241" s="128"/>
      <c r="AC241" s="128"/>
      <c r="AD241" s="151"/>
      <c r="AE241" s="128"/>
      <c r="AF241" s="131"/>
      <c r="AG241" s="128"/>
      <c r="AH241" s="128"/>
      <c r="AI241" s="128"/>
      <c r="AJ241" s="128"/>
      <c r="AK241" s="128"/>
      <c r="AL241" s="126"/>
      <c r="AM241" s="126"/>
      <c r="AN241" s="126"/>
      <c r="AO241" s="125" t="s">
        <v>435</v>
      </c>
      <c r="AP241" s="128"/>
      <c r="AQ241" s="128"/>
      <c r="AR241" s="128"/>
      <c r="AS241" s="128"/>
      <c r="AT241" s="128"/>
    </row>
    <row r="242" spans="1:46" ht="140.25" x14ac:dyDescent="0.25">
      <c r="A242" s="126">
        <f t="shared" si="37"/>
        <v>112</v>
      </c>
      <c r="B242" s="114" t="s">
        <v>841</v>
      </c>
      <c r="C242" s="98" t="s">
        <v>424</v>
      </c>
      <c r="D242" s="18" t="s">
        <v>425</v>
      </c>
      <c r="E242" s="114" t="s">
        <v>426</v>
      </c>
      <c r="F242" s="18" t="s">
        <v>186</v>
      </c>
      <c r="G242" s="18" t="s">
        <v>187</v>
      </c>
      <c r="H242" s="18" t="s">
        <v>834</v>
      </c>
      <c r="I242" s="18" t="s">
        <v>56</v>
      </c>
      <c r="J242" s="18" t="s">
        <v>57</v>
      </c>
      <c r="K242" s="18">
        <v>84131501</v>
      </c>
      <c r="L242" s="80" t="s">
        <v>428</v>
      </c>
      <c r="M242" s="118" t="s">
        <v>59</v>
      </c>
      <c r="N242" s="114" t="s">
        <v>60</v>
      </c>
      <c r="O242" s="77" t="s">
        <v>429</v>
      </c>
      <c r="P242" s="137" t="s">
        <v>842</v>
      </c>
      <c r="Q242" s="253">
        <v>0</v>
      </c>
      <c r="R242" s="253">
        <v>1</v>
      </c>
      <c r="S242" s="115">
        <v>12000000</v>
      </c>
      <c r="T242" s="255" t="s">
        <v>410</v>
      </c>
      <c r="U242" s="118" t="s">
        <v>410</v>
      </c>
      <c r="V242" s="254" t="s">
        <v>411</v>
      </c>
      <c r="W242" s="253" t="s">
        <v>63</v>
      </c>
      <c r="X242" s="253" t="s">
        <v>843</v>
      </c>
      <c r="Y242" s="254">
        <v>43153</v>
      </c>
      <c r="Z242" s="155">
        <f>S242</f>
        <v>12000000</v>
      </c>
      <c r="AA242" s="374">
        <v>110</v>
      </c>
      <c r="AB242" s="374">
        <v>665</v>
      </c>
      <c r="AC242" s="376">
        <v>43159</v>
      </c>
      <c r="AD242" s="377">
        <v>26056087</v>
      </c>
      <c r="AE242" s="379"/>
      <c r="AF242" s="374">
        <v>1475</v>
      </c>
      <c r="AG242" s="376">
        <v>43159</v>
      </c>
      <c r="AH242" s="390">
        <f>AD242</f>
        <v>26056087</v>
      </c>
      <c r="AI242" s="391" t="s">
        <v>844</v>
      </c>
      <c r="AJ242" s="374">
        <v>434</v>
      </c>
      <c r="AK242" s="379"/>
      <c r="AL242" s="381">
        <f>AH242</f>
        <v>26056087</v>
      </c>
      <c r="AM242" s="383">
        <v>0</v>
      </c>
      <c r="AN242" s="381">
        <f>AL242-AM242</f>
        <v>26056087</v>
      </c>
      <c r="AO242" s="125" t="s">
        <v>435</v>
      </c>
      <c r="AP242" s="379"/>
      <c r="AQ242" s="379"/>
      <c r="AR242" s="128"/>
      <c r="AS242" s="128"/>
      <c r="AT242" s="128"/>
    </row>
    <row r="243" spans="1:46" ht="140.25" x14ac:dyDescent="0.25">
      <c r="A243" s="126">
        <f t="shared" si="37"/>
        <v>113</v>
      </c>
      <c r="B243" s="114" t="s">
        <v>845</v>
      </c>
      <c r="C243" s="98" t="s">
        <v>424</v>
      </c>
      <c r="D243" s="18" t="s">
        <v>425</v>
      </c>
      <c r="E243" s="114" t="s">
        <v>426</v>
      </c>
      <c r="F243" s="18" t="s">
        <v>186</v>
      </c>
      <c r="G243" s="18" t="s">
        <v>187</v>
      </c>
      <c r="H243" s="18" t="s">
        <v>834</v>
      </c>
      <c r="I243" s="18" t="s">
        <v>56</v>
      </c>
      <c r="J243" s="18" t="s">
        <v>57</v>
      </c>
      <c r="K243" s="18">
        <v>84131501</v>
      </c>
      <c r="L243" s="80" t="s">
        <v>428</v>
      </c>
      <c r="M243" s="118" t="s">
        <v>59</v>
      </c>
      <c r="N243" s="114" t="s">
        <v>60</v>
      </c>
      <c r="O243" s="77" t="s">
        <v>429</v>
      </c>
      <c r="P243" s="137" t="s">
        <v>842</v>
      </c>
      <c r="Q243" s="253">
        <v>0</v>
      </c>
      <c r="R243" s="253">
        <v>1</v>
      </c>
      <c r="S243" s="115">
        <v>14056087</v>
      </c>
      <c r="T243" s="255" t="s">
        <v>410</v>
      </c>
      <c r="U243" s="118" t="s">
        <v>410</v>
      </c>
      <c r="V243" s="119" t="s">
        <v>411</v>
      </c>
      <c r="W243" s="253" t="s">
        <v>63</v>
      </c>
      <c r="X243" s="253" t="s">
        <v>846</v>
      </c>
      <c r="Y243" s="253">
        <v>43159</v>
      </c>
      <c r="Z243" s="155">
        <f>S243</f>
        <v>14056087</v>
      </c>
      <c r="AA243" s="375"/>
      <c r="AB243" s="375"/>
      <c r="AC243" s="375"/>
      <c r="AD243" s="378"/>
      <c r="AE243" s="380"/>
      <c r="AF243" s="375"/>
      <c r="AG243" s="375"/>
      <c r="AH243" s="375"/>
      <c r="AI243" s="389"/>
      <c r="AJ243" s="375"/>
      <c r="AK243" s="380"/>
      <c r="AL243" s="373"/>
      <c r="AM243" s="384"/>
      <c r="AN243" s="382"/>
      <c r="AO243" s="125" t="s">
        <v>435</v>
      </c>
      <c r="AP243" s="380"/>
      <c r="AQ243" s="380"/>
      <c r="AR243" s="153" t="s">
        <v>847</v>
      </c>
      <c r="AS243" s="128"/>
      <c r="AT243" s="128"/>
    </row>
    <row r="244" spans="1:46" ht="77.25" x14ac:dyDescent="0.25">
      <c r="A244" s="126">
        <f t="shared" si="37"/>
        <v>114</v>
      </c>
      <c r="B244" s="114" t="s">
        <v>848</v>
      </c>
      <c r="C244" s="98" t="s">
        <v>424</v>
      </c>
      <c r="D244" s="18" t="s">
        <v>425</v>
      </c>
      <c r="E244" s="114" t="s">
        <v>453</v>
      </c>
      <c r="F244" s="18" t="s">
        <v>53</v>
      </c>
      <c r="G244" s="18" t="s">
        <v>54</v>
      </c>
      <c r="H244" s="99" t="s">
        <v>427</v>
      </c>
      <c r="I244" s="18" t="s">
        <v>56</v>
      </c>
      <c r="J244" s="18" t="s">
        <v>57</v>
      </c>
      <c r="K244" s="76">
        <v>801116</v>
      </c>
      <c r="L244" s="76" t="s">
        <v>428</v>
      </c>
      <c r="M244" s="114" t="s">
        <v>59</v>
      </c>
      <c r="N244" s="114" t="s">
        <v>60</v>
      </c>
      <c r="O244" s="77" t="s">
        <v>429</v>
      </c>
      <c r="P244" s="118" t="s">
        <v>849</v>
      </c>
      <c r="Q244" s="385"/>
      <c r="R244" s="385"/>
      <c r="S244" s="386"/>
      <c r="T244" s="385"/>
      <c r="U244" s="388"/>
      <c r="V244" s="385"/>
      <c r="W244" s="385"/>
      <c r="X244" s="385"/>
      <c r="Y244" s="385"/>
      <c r="Z244" s="385"/>
      <c r="AA244" s="385"/>
      <c r="AB244" s="394">
        <v>541</v>
      </c>
      <c r="AC244" s="385"/>
      <c r="AD244" s="395"/>
      <c r="AE244" s="385"/>
      <c r="AF244" s="394">
        <v>1390</v>
      </c>
      <c r="AG244" s="397">
        <v>43151</v>
      </c>
      <c r="AH244" s="156">
        <v>27619608</v>
      </c>
      <c r="AI244" s="392" t="s">
        <v>310</v>
      </c>
      <c r="AJ244" s="385"/>
      <c r="AK244" s="385"/>
      <c r="AL244" s="157">
        <v>27619608</v>
      </c>
      <c r="AM244" s="157">
        <v>27619608</v>
      </c>
      <c r="AN244" s="400">
        <f>AL244+AL245-AM244-AM245</f>
        <v>0</v>
      </c>
      <c r="AO244" s="125" t="s">
        <v>435</v>
      </c>
      <c r="AP244" s="385"/>
      <c r="AQ244" s="385"/>
      <c r="AR244" s="385"/>
      <c r="AS244" s="385"/>
      <c r="AT244" s="385"/>
    </row>
    <row r="245" spans="1:46" ht="77.25" x14ac:dyDescent="0.25">
      <c r="A245" s="158">
        <f t="shared" si="37"/>
        <v>115</v>
      </c>
      <c r="B245" s="140" t="s">
        <v>850</v>
      </c>
      <c r="C245" s="101" t="s">
        <v>424</v>
      </c>
      <c r="D245" s="102" t="s">
        <v>425</v>
      </c>
      <c r="E245" s="140" t="s">
        <v>426</v>
      </c>
      <c r="F245" s="102" t="s">
        <v>53</v>
      </c>
      <c r="G245" s="102" t="s">
        <v>54</v>
      </c>
      <c r="H245" s="103" t="s">
        <v>427</v>
      </c>
      <c r="I245" s="102" t="s">
        <v>56</v>
      </c>
      <c r="J245" s="102" t="s">
        <v>57</v>
      </c>
      <c r="K245" s="82">
        <v>801116</v>
      </c>
      <c r="L245" s="78" t="s">
        <v>428</v>
      </c>
      <c r="M245" s="140" t="s">
        <v>59</v>
      </c>
      <c r="N245" s="140" t="s">
        <v>60</v>
      </c>
      <c r="O245" s="83" t="s">
        <v>429</v>
      </c>
      <c r="P245" s="150" t="s">
        <v>849</v>
      </c>
      <c r="Q245" s="380"/>
      <c r="R245" s="380"/>
      <c r="S245" s="387"/>
      <c r="T245" s="380"/>
      <c r="U245" s="389"/>
      <c r="V245" s="380"/>
      <c r="W245" s="380"/>
      <c r="X245" s="380"/>
      <c r="Y245" s="380"/>
      <c r="Z245" s="380"/>
      <c r="AA245" s="380"/>
      <c r="AB245" s="375"/>
      <c r="AC245" s="380"/>
      <c r="AD245" s="396"/>
      <c r="AE245" s="380"/>
      <c r="AF245" s="375"/>
      <c r="AG245" s="398"/>
      <c r="AH245" s="159">
        <v>16221039</v>
      </c>
      <c r="AI245" s="393"/>
      <c r="AJ245" s="380"/>
      <c r="AK245" s="380"/>
      <c r="AL245" s="160">
        <v>16221039</v>
      </c>
      <c r="AM245" s="160">
        <v>16221039</v>
      </c>
      <c r="AN245" s="373"/>
      <c r="AO245" s="161" t="s">
        <v>435</v>
      </c>
      <c r="AP245" s="380"/>
      <c r="AQ245" s="380"/>
      <c r="AR245" s="380"/>
      <c r="AS245" s="380"/>
      <c r="AT245" s="380"/>
    </row>
    <row r="246" spans="1:46" ht="140.25" x14ac:dyDescent="0.25">
      <c r="A246" s="126">
        <f t="shared" si="37"/>
        <v>116</v>
      </c>
      <c r="B246" s="114" t="s">
        <v>851</v>
      </c>
      <c r="C246" s="98" t="s">
        <v>424</v>
      </c>
      <c r="D246" s="18" t="s">
        <v>425</v>
      </c>
      <c r="E246" s="18" t="s">
        <v>749</v>
      </c>
      <c r="F246" s="18" t="s">
        <v>186</v>
      </c>
      <c r="G246" s="18" t="s">
        <v>187</v>
      </c>
      <c r="H246" s="18" t="s">
        <v>834</v>
      </c>
      <c r="I246" s="18" t="s">
        <v>56</v>
      </c>
      <c r="J246" s="18" t="s">
        <v>57</v>
      </c>
      <c r="K246" s="18">
        <v>84131501</v>
      </c>
      <c r="L246" s="80" t="s">
        <v>428</v>
      </c>
      <c r="M246" s="118" t="s">
        <v>59</v>
      </c>
      <c r="N246" s="114" t="s">
        <v>60</v>
      </c>
      <c r="O246" s="77" t="s">
        <v>429</v>
      </c>
      <c r="P246" s="118" t="s">
        <v>852</v>
      </c>
      <c r="Q246" s="128"/>
      <c r="R246" s="128">
        <v>1</v>
      </c>
      <c r="S246" s="162">
        <v>300000</v>
      </c>
      <c r="T246" s="255" t="s">
        <v>853</v>
      </c>
      <c r="U246" s="255" t="s">
        <v>853</v>
      </c>
      <c r="V246" s="119">
        <v>43165</v>
      </c>
      <c r="W246" s="255" t="s">
        <v>63</v>
      </c>
      <c r="X246" s="255" t="s">
        <v>854</v>
      </c>
      <c r="Y246" s="119">
        <v>43164</v>
      </c>
      <c r="Z246" s="162">
        <v>300000</v>
      </c>
      <c r="AA246" s="253" t="s">
        <v>839</v>
      </c>
      <c r="AB246" s="128">
        <v>684</v>
      </c>
      <c r="AC246" s="163">
        <v>43165</v>
      </c>
      <c r="AD246" s="151">
        <v>300000</v>
      </c>
      <c r="AE246" s="128"/>
      <c r="AF246" s="131">
        <v>1569</v>
      </c>
      <c r="AG246" s="135">
        <v>43173</v>
      </c>
      <c r="AH246" s="164">
        <v>300000</v>
      </c>
      <c r="AI246" s="257" t="s">
        <v>855</v>
      </c>
      <c r="AJ246" s="131">
        <v>1526</v>
      </c>
      <c r="AK246" s="131"/>
      <c r="AL246" s="165">
        <v>300000</v>
      </c>
      <c r="AM246" s="165">
        <v>300000</v>
      </c>
      <c r="AN246" s="165">
        <f>AL246-AM246</f>
        <v>0</v>
      </c>
      <c r="AO246" s="125" t="s">
        <v>435</v>
      </c>
      <c r="AP246" s="128"/>
      <c r="AQ246" s="128"/>
      <c r="AR246" s="128"/>
      <c r="AS246" s="128"/>
      <c r="AT246" s="128"/>
    </row>
    <row r="247" spans="1:46" ht="89.25" x14ac:dyDescent="0.25">
      <c r="A247" s="126">
        <f t="shared" si="37"/>
        <v>117</v>
      </c>
      <c r="B247" s="114" t="s">
        <v>856</v>
      </c>
      <c r="C247" s="98" t="s">
        <v>424</v>
      </c>
      <c r="D247" s="18" t="s">
        <v>425</v>
      </c>
      <c r="E247" s="114" t="s">
        <v>426</v>
      </c>
      <c r="F247" s="18" t="s">
        <v>53</v>
      </c>
      <c r="G247" s="18" t="s">
        <v>54</v>
      </c>
      <c r="H247" s="99" t="s">
        <v>427</v>
      </c>
      <c r="I247" s="18" t="s">
        <v>56</v>
      </c>
      <c r="J247" s="18" t="s">
        <v>57</v>
      </c>
      <c r="K247" s="80">
        <v>801116</v>
      </c>
      <c r="L247" s="81" t="s">
        <v>428</v>
      </c>
      <c r="M247" s="118" t="s">
        <v>59</v>
      </c>
      <c r="N247" s="114" t="s">
        <v>60</v>
      </c>
      <c r="O247" s="77" t="s">
        <v>429</v>
      </c>
      <c r="P247" s="118" t="s">
        <v>857</v>
      </c>
      <c r="Q247" s="162">
        <v>11611000</v>
      </c>
      <c r="R247" s="256">
        <v>1</v>
      </c>
      <c r="S247" s="115">
        <v>11611000</v>
      </c>
      <c r="T247" s="128"/>
      <c r="U247" s="118" t="s">
        <v>432</v>
      </c>
      <c r="V247" s="254">
        <v>43165</v>
      </c>
      <c r="W247" s="253" t="s">
        <v>63</v>
      </c>
      <c r="X247" s="253" t="s">
        <v>858</v>
      </c>
      <c r="Y247" s="254">
        <v>43164</v>
      </c>
      <c r="Z247" s="155">
        <f>S247</f>
        <v>11611000</v>
      </c>
      <c r="AA247" s="253" t="s">
        <v>841</v>
      </c>
      <c r="AB247" s="128">
        <v>683</v>
      </c>
      <c r="AC247" s="163">
        <v>43165</v>
      </c>
      <c r="AD247" s="151">
        <v>11611000</v>
      </c>
      <c r="AE247" s="128"/>
      <c r="AF247" s="131"/>
      <c r="AG247" s="128"/>
      <c r="AH247" s="128"/>
      <c r="AI247" s="128"/>
      <c r="AJ247" s="128"/>
      <c r="AK247" s="128"/>
      <c r="AL247" s="126"/>
      <c r="AM247" s="126"/>
      <c r="AN247" s="126"/>
      <c r="AO247" s="125" t="s">
        <v>435</v>
      </c>
      <c r="AP247" s="128"/>
      <c r="AQ247" s="128"/>
      <c r="AR247" s="128"/>
      <c r="AS247" s="128"/>
      <c r="AT247" s="128"/>
    </row>
    <row r="248" spans="1:46" ht="89.25" x14ac:dyDescent="0.25">
      <c r="A248" s="126">
        <f t="shared" si="37"/>
        <v>118</v>
      </c>
      <c r="B248" s="114" t="s">
        <v>859</v>
      </c>
      <c r="C248" s="98" t="s">
        <v>424</v>
      </c>
      <c r="D248" s="98" t="s">
        <v>425</v>
      </c>
      <c r="E248" s="98" t="s">
        <v>453</v>
      </c>
      <c r="F248" s="98" t="s">
        <v>53</v>
      </c>
      <c r="G248" s="98" t="s">
        <v>54</v>
      </c>
      <c r="H248" s="98" t="s">
        <v>427</v>
      </c>
      <c r="I248" s="98" t="s">
        <v>56</v>
      </c>
      <c r="J248" s="98" t="s">
        <v>57</v>
      </c>
      <c r="K248" s="98">
        <v>801116</v>
      </c>
      <c r="L248" s="98" t="s">
        <v>428</v>
      </c>
      <c r="M248" s="98" t="s">
        <v>59</v>
      </c>
      <c r="N248" s="98" t="s">
        <v>60</v>
      </c>
      <c r="O248" s="98" t="s">
        <v>429</v>
      </c>
      <c r="P248" s="118" t="s">
        <v>860</v>
      </c>
      <c r="Q248" s="128"/>
      <c r="R248" s="128"/>
      <c r="S248" s="166"/>
      <c r="T248" s="128"/>
      <c r="U248" s="118"/>
      <c r="V248" s="128"/>
      <c r="W248" s="128"/>
      <c r="X248" s="128"/>
      <c r="Y248" s="128"/>
      <c r="Z248" s="128"/>
      <c r="AA248" s="128"/>
      <c r="AB248" s="128"/>
      <c r="AC248" s="128"/>
      <c r="AD248" s="151"/>
      <c r="AE248" s="128"/>
      <c r="AF248" s="131">
        <v>1533</v>
      </c>
      <c r="AG248" s="135">
        <v>43165</v>
      </c>
      <c r="AH248" s="156">
        <v>20170300</v>
      </c>
      <c r="AI248" s="118" t="s">
        <v>861</v>
      </c>
      <c r="AJ248" s="128">
        <v>22</v>
      </c>
      <c r="AK248" s="128"/>
      <c r="AL248" s="157">
        <v>20170300</v>
      </c>
      <c r="AM248" s="157">
        <v>20170300</v>
      </c>
      <c r="AN248" s="126">
        <f>AL248-AM248</f>
        <v>0</v>
      </c>
      <c r="AO248" s="125" t="s">
        <v>435</v>
      </c>
      <c r="AP248" s="128"/>
      <c r="AQ248" s="128"/>
      <c r="AR248" s="128"/>
      <c r="AS248" s="128"/>
      <c r="AT248" s="128"/>
    </row>
    <row r="249" spans="1:46" ht="127.5" x14ac:dyDescent="0.25">
      <c r="A249" s="126">
        <f t="shared" si="37"/>
        <v>119</v>
      </c>
      <c r="B249" s="114" t="s">
        <v>862</v>
      </c>
      <c r="C249" s="98" t="s">
        <v>424</v>
      </c>
      <c r="D249" s="18" t="s">
        <v>425</v>
      </c>
      <c r="E249" s="114" t="s">
        <v>426</v>
      </c>
      <c r="F249" s="18" t="s">
        <v>53</v>
      </c>
      <c r="G249" s="18" t="s">
        <v>54</v>
      </c>
      <c r="H249" s="99" t="s">
        <v>427</v>
      </c>
      <c r="I249" s="18" t="s">
        <v>56</v>
      </c>
      <c r="J249" s="18" t="s">
        <v>57</v>
      </c>
      <c r="K249" s="80">
        <v>801116</v>
      </c>
      <c r="L249" s="80" t="s">
        <v>428</v>
      </c>
      <c r="M249" s="118" t="s">
        <v>59</v>
      </c>
      <c r="N249" s="114" t="s">
        <v>60</v>
      </c>
      <c r="O249" s="77" t="s">
        <v>429</v>
      </c>
      <c r="P249" s="118" t="s">
        <v>863</v>
      </c>
      <c r="Q249" s="128"/>
      <c r="R249" s="128"/>
      <c r="S249" s="128"/>
      <c r="T249" s="128"/>
      <c r="U249" s="118"/>
      <c r="V249" s="128"/>
      <c r="W249" s="128"/>
      <c r="X249" s="128"/>
      <c r="Y249" s="128"/>
      <c r="Z249" s="128"/>
      <c r="AA249" s="128"/>
      <c r="AB249" s="128">
        <v>683</v>
      </c>
      <c r="AC249" s="128"/>
      <c r="AD249" s="151"/>
      <c r="AE249" s="128"/>
      <c r="AF249" s="131">
        <v>1537</v>
      </c>
      <c r="AG249" s="128" t="s">
        <v>864</v>
      </c>
      <c r="AH249" s="157">
        <v>882500</v>
      </c>
      <c r="AI249" s="118" t="s">
        <v>315</v>
      </c>
      <c r="AJ249" s="128">
        <v>3</v>
      </c>
      <c r="AK249" s="128"/>
      <c r="AL249" s="157">
        <v>882500</v>
      </c>
      <c r="AM249" s="157">
        <v>882500</v>
      </c>
      <c r="AN249" s="157">
        <f>AL249-AM249</f>
        <v>0</v>
      </c>
      <c r="AO249" s="125" t="s">
        <v>435</v>
      </c>
      <c r="AP249" s="128"/>
      <c r="AQ249" s="128"/>
      <c r="AR249" s="128"/>
      <c r="AS249" s="128"/>
      <c r="AT249" s="128"/>
    </row>
    <row r="250" spans="1:46" ht="77.25" x14ac:dyDescent="0.25">
      <c r="A250" s="126">
        <f t="shared" si="37"/>
        <v>120</v>
      </c>
      <c r="B250" s="114" t="s">
        <v>865</v>
      </c>
      <c r="C250" s="98" t="s">
        <v>424</v>
      </c>
      <c r="D250" s="18" t="s">
        <v>425</v>
      </c>
      <c r="E250" s="114" t="s">
        <v>453</v>
      </c>
      <c r="F250" s="18" t="s">
        <v>53</v>
      </c>
      <c r="G250" s="18" t="s">
        <v>54</v>
      </c>
      <c r="H250" s="99" t="s">
        <v>427</v>
      </c>
      <c r="I250" s="18" t="s">
        <v>56</v>
      </c>
      <c r="J250" s="18" t="s">
        <v>57</v>
      </c>
      <c r="K250" s="76">
        <v>801116</v>
      </c>
      <c r="L250" s="76" t="s">
        <v>428</v>
      </c>
      <c r="M250" s="114" t="s">
        <v>59</v>
      </c>
      <c r="N250" s="114" t="s">
        <v>60</v>
      </c>
      <c r="O250" s="77" t="s">
        <v>429</v>
      </c>
      <c r="P250" s="118" t="s">
        <v>866</v>
      </c>
      <c r="Q250" s="128"/>
      <c r="R250" s="128"/>
      <c r="S250" s="128"/>
      <c r="T250" s="128"/>
      <c r="U250" s="118"/>
      <c r="V250" s="128"/>
      <c r="W250" s="128"/>
      <c r="X250" s="128"/>
      <c r="Y250" s="128"/>
      <c r="Z250" s="128"/>
      <c r="AA250" s="128"/>
      <c r="AB250" s="128"/>
      <c r="AC250" s="128"/>
      <c r="AD250" s="151"/>
      <c r="AE250" s="128"/>
      <c r="AF250" s="394">
        <v>1606</v>
      </c>
      <c r="AG250" s="397">
        <v>43180</v>
      </c>
      <c r="AH250" s="157">
        <f>44033158+12360596</f>
        <v>56393754</v>
      </c>
      <c r="AI250" s="388" t="s">
        <v>310</v>
      </c>
      <c r="AJ250" s="399">
        <v>1</v>
      </c>
      <c r="AK250" s="128"/>
      <c r="AL250" s="157">
        <f>AH250</f>
        <v>56393754</v>
      </c>
      <c r="AM250" s="157">
        <f>AL250</f>
        <v>56393754</v>
      </c>
      <c r="AN250" s="157">
        <f>AL250-AM250</f>
        <v>0</v>
      </c>
      <c r="AO250" s="128"/>
      <c r="AP250" s="128"/>
      <c r="AQ250" s="128"/>
      <c r="AR250" s="128"/>
      <c r="AS250" s="128"/>
      <c r="AT250" s="128"/>
    </row>
    <row r="251" spans="1:46" ht="77.25" x14ac:dyDescent="0.25">
      <c r="A251" s="126">
        <f t="shared" si="37"/>
        <v>121</v>
      </c>
      <c r="B251" s="114" t="s">
        <v>867</v>
      </c>
      <c r="C251" s="98" t="s">
        <v>424</v>
      </c>
      <c r="D251" s="18" t="s">
        <v>425</v>
      </c>
      <c r="E251" s="114" t="s">
        <v>426</v>
      </c>
      <c r="F251" s="18" t="s">
        <v>53</v>
      </c>
      <c r="G251" s="18" t="s">
        <v>54</v>
      </c>
      <c r="H251" s="99" t="s">
        <v>427</v>
      </c>
      <c r="I251" s="18" t="s">
        <v>56</v>
      </c>
      <c r="J251" s="18" t="s">
        <v>57</v>
      </c>
      <c r="K251" s="76">
        <v>801117</v>
      </c>
      <c r="L251" s="76" t="s">
        <v>428</v>
      </c>
      <c r="M251" s="114" t="s">
        <v>801</v>
      </c>
      <c r="N251" s="114" t="s">
        <v>802</v>
      </c>
      <c r="O251" s="77" t="s">
        <v>803</v>
      </c>
      <c r="P251" s="118" t="s">
        <v>868</v>
      </c>
      <c r="Q251" s="128"/>
      <c r="R251" s="128"/>
      <c r="S251" s="128"/>
      <c r="T251" s="128"/>
      <c r="U251" s="118"/>
      <c r="V251" s="128"/>
      <c r="W251" s="128"/>
      <c r="X251" s="128"/>
      <c r="Y251" s="128"/>
      <c r="Z251" s="128"/>
      <c r="AA251" s="128"/>
      <c r="AB251" s="128"/>
      <c r="AC251" s="128"/>
      <c r="AD251" s="151"/>
      <c r="AE251" s="128"/>
      <c r="AF251" s="375"/>
      <c r="AG251" s="398"/>
      <c r="AH251" s="160">
        <f>25860743-12360596</f>
        <v>13500147</v>
      </c>
      <c r="AI251" s="389"/>
      <c r="AJ251" s="373"/>
      <c r="AK251" s="128"/>
      <c r="AL251" s="157">
        <f>AH251</f>
        <v>13500147</v>
      </c>
      <c r="AM251" s="157">
        <f>AL251</f>
        <v>13500147</v>
      </c>
      <c r="AN251" s="157">
        <f>AL251-AM251</f>
        <v>0</v>
      </c>
      <c r="AO251" s="128"/>
      <c r="AP251" s="128"/>
      <c r="AQ251" s="128"/>
      <c r="AR251" s="128"/>
      <c r="AS251" s="128"/>
      <c r="AT251" s="128"/>
    </row>
    <row r="252" spans="1:46" ht="165.75" x14ac:dyDescent="0.25">
      <c r="A252" s="126">
        <f t="shared" si="37"/>
        <v>122</v>
      </c>
      <c r="B252" s="114" t="s">
        <v>869</v>
      </c>
      <c r="C252" s="98" t="s">
        <v>424</v>
      </c>
      <c r="D252" s="18" t="s">
        <v>425</v>
      </c>
      <c r="E252" s="114" t="s">
        <v>426</v>
      </c>
      <c r="F252" s="18" t="s">
        <v>53</v>
      </c>
      <c r="G252" s="18" t="s">
        <v>54</v>
      </c>
      <c r="H252" s="99" t="s">
        <v>427</v>
      </c>
      <c r="I252" s="18" t="s">
        <v>56</v>
      </c>
      <c r="J252" s="18" t="s">
        <v>57</v>
      </c>
      <c r="K252" s="80">
        <v>801116</v>
      </c>
      <c r="L252" s="80" t="s">
        <v>428</v>
      </c>
      <c r="M252" s="118" t="s">
        <v>59</v>
      </c>
      <c r="N252" s="114" t="s">
        <v>60</v>
      </c>
      <c r="O252" s="77" t="s">
        <v>429</v>
      </c>
      <c r="P252" s="118" t="s">
        <v>870</v>
      </c>
      <c r="Q252" s="167">
        <v>10000000</v>
      </c>
      <c r="R252" s="131">
        <v>1</v>
      </c>
      <c r="S252" s="167">
        <v>30000000</v>
      </c>
      <c r="T252" s="118" t="s">
        <v>431</v>
      </c>
      <c r="U252" s="118"/>
      <c r="V252" s="135">
        <v>43202</v>
      </c>
      <c r="W252" s="131">
        <v>3</v>
      </c>
      <c r="X252" s="131" t="s">
        <v>871</v>
      </c>
      <c r="Y252" s="135">
        <v>43202</v>
      </c>
      <c r="Z252" s="167">
        <v>30000000</v>
      </c>
      <c r="AA252" s="131" t="s">
        <v>771</v>
      </c>
      <c r="AB252" s="128">
        <v>788</v>
      </c>
      <c r="AC252" s="163">
        <v>43203</v>
      </c>
      <c r="AD252" s="167">
        <v>30000000</v>
      </c>
      <c r="AE252" s="128"/>
      <c r="AF252" s="131"/>
      <c r="AG252" s="128"/>
      <c r="AH252" s="127"/>
      <c r="AI252" s="128"/>
      <c r="AJ252" s="128"/>
      <c r="AK252" s="128"/>
      <c r="AL252" s="126"/>
      <c r="AM252" s="129"/>
      <c r="AN252" s="157">
        <f t="shared" ref="AN252:AN260" si="38">AL252-AM252</f>
        <v>0</v>
      </c>
      <c r="AO252" s="128"/>
      <c r="AP252" s="128"/>
      <c r="AQ252" s="128"/>
      <c r="AR252" s="128"/>
      <c r="AS252" s="128"/>
      <c r="AT252" s="128"/>
    </row>
    <row r="253" spans="1:46" ht="89.25" x14ac:dyDescent="0.25">
      <c r="A253" s="126">
        <f t="shared" si="37"/>
        <v>123</v>
      </c>
      <c r="B253" s="114" t="s">
        <v>872</v>
      </c>
      <c r="C253" s="98" t="s">
        <v>424</v>
      </c>
      <c r="D253" s="18" t="s">
        <v>425</v>
      </c>
      <c r="E253" s="114" t="s">
        <v>426</v>
      </c>
      <c r="F253" s="18" t="s">
        <v>53</v>
      </c>
      <c r="G253" s="18" t="s">
        <v>54</v>
      </c>
      <c r="H253" s="99" t="s">
        <v>427</v>
      </c>
      <c r="I253" s="18" t="s">
        <v>56</v>
      </c>
      <c r="J253" s="18" t="s">
        <v>57</v>
      </c>
      <c r="K253" s="80">
        <v>801117</v>
      </c>
      <c r="L253" s="80" t="s">
        <v>428</v>
      </c>
      <c r="M253" s="118" t="s">
        <v>801</v>
      </c>
      <c r="N253" s="114" t="s">
        <v>802</v>
      </c>
      <c r="O253" s="77" t="s">
        <v>803</v>
      </c>
      <c r="P253" s="118" t="s">
        <v>873</v>
      </c>
      <c r="Q253" s="167">
        <v>4532000</v>
      </c>
      <c r="R253" s="128">
        <v>1</v>
      </c>
      <c r="S253" s="167">
        <v>6798000</v>
      </c>
      <c r="T253" s="118" t="s">
        <v>431</v>
      </c>
      <c r="U253" s="118"/>
      <c r="V253" s="135">
        <v>43202</v>
      </c>
      <c r="W253" s="131">
        <v>1.5</v>
      </c>
      <c r="X253" s="131" t="s">
        <v>874</v>
      </c>
      <c r="Y253" s="135">
        <v>43202</v>
      </c>
      <c r="Z253" s="167">
        <v>6798000</v>
      </c>
      <c r="AA253" s="131" t="s">
        <v>771</v>
      </c>
      <c r="AB253" s="128">
        <v>789</v>
      </c>
      <c r="AC253" s="163">
        <v>43203</v>
      </c>
      <c r="AD253" s="167">
        <v>6798000</v>
      </c>
      <c r="AE253" s="128"/>
      <c r="AF253" s="131">
        <v>1842</v>
      </c>
      <c r="AG253" s="163">
        <v>43214</v>
      </c>
      <c r="AH253" s="167">
        <v>6798000</v>
      </c>
      <c r="AI253" s="118" t="s">
        <v>468</v>
      </c>
      <c r="AJ253" s="128">
        <v>347</v>
      </c>
      <c r="AK253" s="128"/>
      <c r="AL253" s="165">
        <v>6798000</v>
      </c>
      <c r="AM253" s="126">
        <v>0</v>
      </c>
      <c r="AN253" s="157">
        <f t="shared" si="38"/>
        <v>6798000</v>
      </c>
      <c r="AO253" s="128"/>
      <c r="AP253" s="128"/>
      <c r="AQ253" s="128"/>
      <c r="AR253" s="128"/>
      <c r="AS253" s="128"/>
      <c r="AT253" s="128"/>
    </row>
    <row r="254" spans="1:46" ht="127.5" x14ac:dyDescent="0.25">
      <c r="A254" s="126">
        <f t="shared" si="37"/>
        <v>124</v>
      </c>
      <c r="B254" s="114" t="s">
        <v>875</v>
      </c>
      <c r="C254" s="98" t="s">
        <v>424</v>
      </c>
      <c r="D254" s="18" t="s">
        <v>425</v>
      </c>
      <c r="E254" s="18" t="s">
        <v>749</v>
      </c>
      <c r="F254" s="18" t="s">
        <v>186</v>
      </c>
      <c r="G254" s="18" t="s">
        <v>187</v>
      </c>
      <c r="H254" s="18" t="s">
        <v>834</v>
      </c>
      <c r="I254" s="18" t="s">
        <v>56</v>
      </c>
      <c r="J254" s="18" t="s">
        <v>57</v>
      </c>
      <c r="K254" s="18">
        <v>84131501</v>
      </c>
      <c r="L254" s="80" t="s">
        <v>428</v>
      </c>
      <c r="M254" s="118" t="s">
        <v>59</v>
      </c>
      <c r="N254" s="114" t="s">
        <v>60</v>
      </c>
      <c r="O254" s="77" t="s">
        <v>429</v>
      </c>
      <c r="P254" s="118" t="s">
        <v>876</v>
      </c>
      <c r="Q254" s="167">
        <v>4000000</v>
      </c>
      <c r="R254" s="128">
        <v>1</v>
      </c>
      <c r="S254" s="167">
        <v>4000000</v>
      </c>
      <c r="T254" s="131" t="s">
        <v>853</v>
      </c>
      <c r="U254" s="118"/>
      <c r="V254" s="135">
        <v>43203</v>
      </c>
      <c r="W254" s="131">
        <v>2</v>
      </c>
      <c r="X254" s="131" t="s">
        <v>877</v>
      </c>
      <c r="Y254" s="135">
        <v>43203</v>
      </c>
      <c r="Z254" s="167">
        <v>4000000</v>
      </c>
      <c r="AA254" s="131" t="s">
        <v>839</v>
      </c>
      <c r="AB254" s="128">
        <v>790</v>
      </c>
      <c r="AC254" s="163">
        <v>43203</v>
      </c>
      <c r="AD254" s="167">
        <v>4000000</v>
      </c>
      <c r="AE254" s="128"/>
      <c r="AF254" s="131">
        <v>1806</v>
      </c>
      <c r="AG254" s="163">
        <v>43207</v>
      </c>
      <c r="AH254" s="167">
        <v>1500000</v>
      </c>
      <c r="AI254" s="150" t="s">
        <v>878</v>
      </c>
      <c r="AJ254" s="128">
        <v>1868</v>
      </c>
      <c r="AK254" s="128"/>
      <c r="AL254" s="165">
        <v>1500000</v>
      </c>
      <c r="AM254" s="165">
        <v>1500000</v>
      </c>
      <c r="AN254" s="157">
        <f>AL254-AM254</f>
        <v>0</v>
      </c>
      <c r="AO254" s="128"/>
      <c r="AP254" s="128"/>
      <c r="AQ254" s="128"/>
      <c r="AR254" s="128"/>
      <c r="AS254" s="128"/>
      <c r="AT254" s="128"/>
    </row>
    <row r="255" spans="1:46" ht="77.25" x14ac:dyDescent="0.25">
      <c r="A255" s="126">
        <f t="shared" si="37"/>
        <v>125</v>
      </c>
      <c r="B255" s="114" t="s">
        <v>879</v>
      </c>
      <c r="C255" s="98" t="s">
        <v>424</v>
      </c>
      <c r="D255" s="18" t="s">
        <v>425</v>
      </c>
      <c r="E255" s="18" t="s">
        <v>749</v>
      </c>
      <c r="F255" s="18" t="s">
        <v>186</v>
      </c>
      <c r="G255" s="18" t="s">
        <v>187</v>
      </c>
      <c r="H255" s="18" t="s">
        <v>834</v>
      </c>
      <c r="I255" s="18" t="s">
        <v>56</v>
      </c>
      <c r="J255" s="18" t="s">
        <v>57</v>
      </c>
      <c r="K255" s="18">
        <v>84131501</v>
      </c>
      <c r="L255" s="80" t="s">
        <v>428</v>
      </c>
      <c r="M255" s="118" t="s">
        <v>59</v>
      </c>
      <c r="N255" s="114" t="s">
        <v>60</v>
      </c>
      <c r="O255" s="77" t="s">
        <v>429</v>
      </c>
      <c r="P255" s="118" t="s">
        <v>880</v>
      </c>
      <c r="Q255" s="167">
        <v>119276</v>
      </c>
      <c r="R255" s="253">
        <v>1</v>
      </c>
      <c r="S255" s="168">
        <v>119276</v>
      </c>
      <c r="T255" s="128" t="s">
        <v>853</v>
      </c>
      <c r="U255" s="118"/>
      <c r="V255" s="163">
        <v>43210</v>
      </c>
      <c r="W255" s="124">
        <v>1</v>
      </c>
      <c r="X255" s="124" t="s">
        <v>881</v>
      </c>
      <c r="Y255" s="135">
        <v>43209</v>
      </c>
      <c r="Z255" s="168">
        <v>119276</v>
      </c>
      <c r="AA255" s="131" t="s">
        <v>839</v>
      </c>
      <c r="AB255" s="128">
        <v>800</v>
      </c>
      <c r="AC255" s="163">
        <v>43210</v>
      </c>
      <c r="AD255" s="167">
        <v>119276</v>
      </c>
      <c r="AE255" s="128"/>
      <c r="AF255" s="131"/>
      <c r="AG255" s="163"/>
      <c r="AH255" s="167"/>
      <c r="AI255" s="128"/>
      <c r="AJ255" s="128"/>
      <c r="AK255" s="128"/>
      <c r="AL255" s="126"/>
      <c r="AM255" s="126">
        <v>0</v>
      </c>
      <c r="AN255" s="157">
        <f t="shared" si="38"/>
        <v>0</v>
      </c>
      <c r="AO255" s="128"/>
      <c r="AP255" s="128"/>
      <c r="AQ255" s="128"/>
      <c r="AR255" s="128"/>
      <c r="AS255" s="128"/>
      <c r="AT255" s="128"/>
    </row>
    <row r="256" spans="1:46" ht="102" x14ac:dyDescent="0.25">
      <c r="A256" s="126">
        <f t="shared" si="37"/>
        <v>126</v>
      </c>
      <c r="B256" s="114" t="s">
        <v>882</v>
      </c>
      <c r="C256" s="98" t="s">
        <v>424</v>
      </c>
      <c r="D256" s="18" t="s">
        <v>425</v>
      </c>
      <c r="E256" s="18" t="s">
        <v>749</v>
      </c>
      <c r="F256" s="18" t="s">
        <v>186</v>
      </c>
      <c r="G256" s="18" t="s">
        <v>187</v>
      </c>
      <c r="H256" s="18" t="s">
        <v>834</v>
      </c>
      <c r="I256" s="18" t="s">
        <v>56</v>
      </c>
      <c r="J256" s="18" t="s">
        <v>57</v>
      </c>
      <c r="K256" s="18">
        <v>84131502</v>
      </c>
      <c r="L256" s="80" t="s">
        <v>428</v>
      </c>
      <c r="M256" s="118" t="s">
        <v>801</v>
      </c>
      <c r="N256" s="114" t="s">
        <v>802</v>
      </c>
      <c r="O256" s="77" t="s">
        <v>803</v>
      </c>
      <c r="P256" s="118" t="s">
        <v>883</v>
      </c>
      <c r="Q256" s="165">
        <v>1047000</v>
      </c>
      <c r="R256" s="256">
        <v>1</v>
      </c>
      <c r="S256" s="165">
        <v>1047000</v>
      </c>
      <c r="T256" s="165" t="s">
        <v>884</v>
      </c>
      <c r="U256" s="165"/>
      <c r="V256" s="163">
        <v>43210</v>
      </c>
      <c r="W256" s="124">
        <v>1</v>
      </c>
      <c r="X256" s="124" t="s">
        <v>885</v>
      </c>
      <c r="Y256" s="135">
        <v>43209</v>
      </c>
      <c r="Z256" s="165">
        <v>1047000</v>
      </c>
      <c r="AA256" s="131" t="s">
        <v>473</v>
      </c>
      <c r="AB256" s="128">
        <v>799</v>
      </c>
      <c r="AC256" s="163">
        <v>43210</v>
      </c>
      <c r="AD256" s="167">
        <v>1047000</v>
      </c>
      <c r="AE256" s="128"/>
      <c r="AF256" s="131">
        <v>1840</v>
      </c>
      <c r="AG256" s="163">
        <v>43214</v>
      </c>
      <c r="AH256" s="167">
        <v>1047000</v>
      </c>
      <c r="AI256" s="150" t="s">
        <v>855</v>
      </c>
      <c r="AJ256" s="150">
        <v>1935</v>
      </c>
      <c r="AK256" s="150"/>
      <c r="AL256" s="165">
        <v>1047000</v>
      </c>
      <c r="AM256" s="165">
        <v>1047000</v>
      </c>
      <c r="AN256" s="157">
        <f>AL256-AM256</f>
        <v>0</v>
      </c>
      <c r="AO256" s="128"/>
      <c r="AP256" s="128"/>
      <c r="AQ256" s="128"/>
      <c r="AR256" s="128"/>
      <c r="AS256" s="128"/>
      <c r="AT256" s="128"/>
    </row>
    <row r="257" spans="1:46" ht="77.25" x14ac:dyDescent="0.25">
      <c r="A257" s="126">
        <f t="shared" si="37"/>
        <v>127</v>
      </c>
      <c r="B257" s="114" t="s">
        <v>886</v>
      </c>
      <c r="C257" s="98" t="s">
        <v>424</v>
      </c>
      <c r="D257" s="18" t="s">
        <v>425</v>
      </c>
      <c r="E257" s="114" t="s">
        <v>453</v>
      </c>
      <c r="F257" s="18" t="s">
        <v>53</v>
      </c>
      <c r="G257" s="18" t="s">
        <v>54</v>
      </c>
      <c r="H257" s="99" t="s">
        <v>427</v>
      </c>
      <c r="I257" s="18" t="s">
        <v>56</v>
      </c>
      <c r="J257" s="18" t="s">
        <v>57</v>
      </c>
      <c r="K257" s="76">
        <v>801116</v>
      </c>
      <c r="L257" s="76" t="s">
        <v>428</v>
      </c>
      <c r="M257" s="114" t="s">
        <v>59</v>
      </c>
      <c r="N257" s="114" t="s">
        <v>60</v>
      </c>
      <c r="O257" s="77" t="s">
        <v>429</v>
      </c>
      <c r="P257" s="118" t="s">
        <v>887</v>
      </c>
      <c r="Q257" s="128"/>
      <c r="R257" s="128"/>
      <c r="S257" s="166"/>
      <c r="T257" s="128"/>
      <c r="U257" s="118"/>
      <c r="V257" s="128"/>
      <c r="W257" s="128"/>
      <c r="X257" s="128"/>
      <c r="Y257" s="128"/>
      <c r="Z257" s="128"/>
      <c r="AA257" s="128"/>
      <c r="AB257" s="126">
        <v>541</v>
      </c>
      <c r="AC257" s="128"/>
      <c r="AD257" s="151"/>
      <c r="AE257" s="128"/>
      <c r="AF257" s="131">
        <v>1801</v>
      </c>
      <c r="AG257" s="163">
        <v>43203</v>
      </c>
      <c r="AH257" s="167">
        <v>20421900</v>
      </c>
      <c r="AI257" s="118" t="s">
        <v>310</v>
      </c>
      <c r="AJ257" s="118">
        <v>28</v>
      </c>
      <c r="AK257" s="118"/>
      <c r="AL257" s="165">
        <v>20421900</v>
      </c>
      <c r="AM257" s="165">
        <v>20421900</v>
      </c>
      <c r="AN257" s="157">
        <f t="shared" si="38"/>
        <v>0</v>
      </c>
      <c r="AO257" s="128"/>
      <c r="AP257" s="128"/>
      <c r="AQ257" s="128"/>
      <c r="AR257" s="128"/>
      <c r="AS257" s="128"/>
      <c r="AT257" s="128"/>
    </row>
    <row r="258" spans="1:46" ht="77.25" x14ac:dyDescent="0.25">
      <c r="A258" s="126">
        <f t="shared" si="37"/>
        <v>128</v>
      </c>
      <c r="B258" s="114" t="s">
        <v>888</v>
      </c>
      <c r="C258" s="98" t="s">
        <v>424</v>
      </c>
      <c r="D258" s="18" t="s">
        <v>425</v>
      </c>
      <c r="E258" s="114" t="s">
        <v>453</v>
      </c>
      <c r="F258" s="18" t="s">
        <v>53</v>
      </c>
      <c r="G258" s="18" t="s">
        <v>54</v>
      </c>
      <c r="H258" s="99" t="s">
        <v>427</v>
      </c>
      <c r="I258" s="18" t="s">
        <v>56</v>
      </c>
      <c r="J258" s="18" t="s">
        <v>57</v>
      </c>
      <c r="K258" s="76">
        <v>801117</v>
      </c>
      <c r="L258" s="76" t="s">
        <v>428</v>
      </c>
      <c r="M258" s="114" t="s">
        <v>801</v>
      </c>
      <c r="N258" s="114" t="s">
        <v>802</v>
      </c>
      <c r="O258" s="77" t="s">
        <v>803</v>
      </c>
      <c r="P258" s="118" t="s">
        <v>889</v>
      </c>
      <c r="Q258" s="128"/>
      <c r="R258" s="128"/>
      <c r="S258" s="128"/>
      <c r="T258" s="128"/>
      <c r="U258" s="118"/>
      <c r="V258" s="128"/>
      <c r="W258" s="128"/>
      <c r="X258" s="128"/>
      <c r="Y258" s="128"/>
      <c r="Z258" s="128"/>
      <c r="AA258" s="128"/>
      <c r="AB258" s="372">
        <v>541</v>
      </c>
      <c r="AC258" s="128"/>
      <c r="AD258" s="151"/>
      <c r="AE258" s="128"/>
      <c r="AF258" s="394">
        <v>1838</v>
      </c>
      <c r="AG258" s="397">
        <v>43213</v>
      </c>
      <c r="AH258" s="167">
        <v>47194602</v>
      </c>
      <c r="AI258" s="391" t="s">
        <v>310</v>
      </c>
      <c r="AJ258" s="401">
        <v>31</v>
      </c>
      <c r="AK258" s="128"/>
      <c r="AL258" s="165">
        <v>47194602</v>
      </c>
      <c r="AM258" s="165">
        <v>47194602</v>
      </c>
      <c r="AN258" s="157">
        <f t="shared" si="38"/>
        <v>0</v>
      </c>
      <c r="AO258" s="128"/>
      <c r="AP258" s="128"/>
      <c r="AQ258" s="128"/>
      <c r="AR258" s="128"/>
      <c r="AS258" s="128"/>
      <c r="AT258" s="128"/>
    </row>
    <row r="259" spans="1:46" ht="77.25" x14ac:dyDescent="0.25">
      <c r="A259" s="126">
        <f t="shared" si="37"/>
        <v>129</v>
      </c>
      <c r="B259" s="114" t="s">
        <v>890</v>
      </c>
      <c r="C259" s="98" t="s">
        <v>424</v>
      </c>
      <c r="D259" s="18" t="s">
        <v>425</v>
      </c>
      <c r="E259" s="114" t="s">
        <v>426</v>
      </c>
      <c r="F259" s="18" t="s">
        <v>53</v>
      </c>
      <c r="G259" s="18" t="s">
        <v>54</v>
      </c>
      <c r="H259" s="99" t="s">
        <v>427</v>
      </c>
      <c r="I259" s="18" t="s">
        <v>56</v>
      </c>
      <c r="J259" s="18" t="s">
        <v>57</v>
      </c>
      <c r="K259" s="76">
        <v>801117</v>
      </c>
      <c r="L259" s="76" t="s">
        <v>428</v>
      </c>
      <c r="M259" s="114" t="s">
        <v>801</v>
      </c>
      <c r="N259" s="114" t="s">
        <v>802</v>
      </c>
      <c r="O259" s="77" t="s">
        <v>803</v>
      </c>
      <c r="P259" s="118" t="s">
        <v>889</v>
      </c>
      <c r="Q259" s="128"/>
      <c r="R259" s="128"/>
      <c r="S259" s="128"/>
      <c r="T259" s="128"/>
      <c r="U259" s="118"/>
      <c r="V259" s="128"/>
      <c r="W259" s="128"/>
      <c r="X259" s="128"/>
      <c r="Y259" s="128"/>
      <c r="Z259" s="128"/>
      <c r="AA259" s="128"/>
      <c r="AB259" s="373"/>
      <c r="AC259" s="128"/>
      <c r="AD259" s="151"/>
      <c r="AE259" s="128"/>
      <c r="AF259" s="394"/>
      <c r="AG259" s="397"/>
      <c r="AH259" s="167">
        <v>27717465</v>
      </c>
      <c r="AI259" s="389"/>
      <c r="AJ259" s="402"/>
      <c r="AK259" s="128"/>
      <c r="AL259" s="165">
        <v>27717465</v>
      </c>
      <c r="AM259" s="165">
        <v>27717465</v>
      </c>
      <c r="AN259" s="157">
        <f t="shared" si="38"/>
        <v>0</v>
      </c>
      <c r="AO259" s="128"/>
      <c r="AP259" s="128"/>
      <c r="AQ259" s="128"/>
      <c r="AR259" s="128"/>
      <c r="AS259" s="128"/>
      <c r="AT259" s="128"/>
    </row>
    <row r="260" spans="1:46" ht="127.5" x14ac:dyDescent="0.25">
      <c r="A260" s="126">
        <f t="shared" si="37"/>
        <v>130</v>
      </c>
      <c r="B260" s="114" t="s">
        <v>891</v>
      </c>
      <c r="C260" s="98" t="s">
        <v>424</v>
      </c>
      <c r="D260" s="18" t="s">
        <v>425</v>
      </c>
      <c r="E260" s="114" t="s">
        <v>426</v>
      </c>
      <c r="F260" s="18" t="s">
        <v>53</v>
      </c>
      <c r="G260" s="18" t="s">
        <v>54</v>
      </c>
      <c r="H260" s="99" t="s">
        <v>427</v>
      </c>
      <c r="I260" s="18" t="s">
        <v>56</v>
      </c>
      <c r="J260" s="18" t="s">
        <v>57</v>
      </c>
      <c r="K260" s="80">
        <v>801116</v>
      </c>
      <c r="L260" s="81" t="s">
        <v>428</v>
      </c>
      <c r="M260" s="118" t="s">
        <v>59</v>
      </c>
      <c r="N260" s="114" t="s">
        <v>60</v>
      </c>
      <c r="O260" s="77" t="s">
        <v>429</v>
      </c>
      <c r="P260" s="118" t="s">
        <v>892</v>
      </c>
      <c r="Q260" s="128"/>
      <c r="R260" s="128"/>
      <c r="S260" s="128"/>
      <c r="T260" s="128"/>
      <c r="U260" s="118"/>
      <c r="V260" s="128"/>
      <c r="W260" s="128"/>
      <c r="X260" s="128"/>
      <c r="Y260" s="128"/>
      <c r="Z260" s="128"/>
      <c r="AA260" s="128"/>
      <c r="AB260" s="256">
        <v>683</v>
      </c>
      <c r="AC260" s="128"/>
      <c r="AD260" s="151"/>
      <c r="AE260" s="128"/>
      <c r="AF260" s="253">
        <v>1723</v>
      </c>
      <c r="AG260" s="254">
        <v>43195</v>
      </c>
      <c r="AH260" s="167">
        <v>1161100</v>
      </c>
      <c r="AI260" s="118" t="s">
        <v>315</v>
      </c>
      <c r="AJ260" s="169">
        <v>4</v>
      </c>
      <c r="AK260" s="128"/>
      <c r="AL260" s="165">
        <v>1161100</v>
      </c>
      <c r="AM260" s="165">
        <v>1161100</v>
      </c>
      <c r="AN260" s="157">
        <f t="shared" si="38"/>
        <v>0</v>
      </c>
      <c r="AO260" s="128"/>
      <c r="AP260" s="128"/>
      <c r="AQ260" s="128"/>
      <c r="AR260" s="128"/>
      <c r="AS260" s="128"/>
      <c r="AT260" s="128"/>
    </row>
    <row r="261" spans="1:46" ht="115.5" x14ac:dyDescent="0.25">
      <c r="A261" s="105">
        <v>1</v>
      </c>
      <c r="B261" s="105" t="s">
        <v>893</v>
      </c>
      <c r="C261" s="105" t="s">
        <v>894</v>
      </c>
      <c r="D261" s="105" t="s">
        <v>895</v>
      </c>
      <c r="E261" s="170" t="s">
        <v>896</v>
      </c>
      <c r="F261" s="105" t="s">
        <v>53</v>
      </c>
      <c r="G261" s="105" t="s">
        <v>54</v>
      </c>
      <c r="H261" s="171" t="s">
        <v>55</v>
      </c>
      <c r="I261" s="105" t="s">
        <v>56</v>
      </c>
      <c r="J261" s="105" t="s">
        <v>57</v>
      </c>
      <c r="K261" s="18">
        <v>80111600</v>
      </c>
      <c r="L261" s="18" t="s">
        <v>897</v>
      </c>
      <c r="M261" s="18" t="s">
        <v>59</v>
      </c>
      <c r="N261" s="18" t="s">
        <v>60</v>
      </c>
      <c r="O261" s="126" t="s">
        <v>898</v>
      </c>
      <c r="P261" s="26" t="s">
        <v>899</v>
      </c>
      <c r="Q261" s="26">
        <v>7210000</v>
      </c>
      <c r="R261" s="26">
        <v>1</v>
      </c>
      <c r="S261" s="26">
        <v>82915000</v>
      </c>
      <c r="T261" s="26" t="s">
        <v>900</v>
      </c>
      <c r="U261" s="105" t="s">
        <v>68</v>
      </c>
      <c r="V261" s="172" t="s">
        <v>308</v>
      </c>
      <c r="W261" s="173">
        <v>11.5</v>
      </c>
      <c r="X261" s="174" t="s">
        <v>901</v>
      </c>
      <c r="Y261" s="36">
        <v>43102</v>
      </c>
      <c r="Z261" s="175">
        <v>82915000</v>
      </c>
      <c r="AA261" s="37"/>
      <c r="AB261" s="40">
        <v>102</v>
      </c>
      <c r="AC261" s="176">
        <v>43103</v>
      </c>
      <c r="AD261" s="177">
        <v>82915000</v>
      </c>
      <c r="AE261" s="104">
        <f>S261-AD261</f>
        <v>0</v>
      </c>
      <c r="AF261" s="40">
        <v>82</v>
      </c>
      <c r="AG261" s="176">
        <v>43116</v>
      </c>
      <c r="AH261" s="177">
        <v>82915000</v>
      </c>
      <c r="AI261" s="126" t="s">
        <v>902</v>
      </c>
      <c r="AJ261" s="40">
        <v>68</v>
      </c>
      <c r="AK261" s="34"/>
      <c r="AL261" s="177">
        <v>17784666</v>
      </c>
      <c r="AM261" s="178">
        <f>AH261-AL261</f>
        <v>65130334</v>
      </c>
      <c r="AN261" s="34"/>
      <c r="AO261" s="34"/>
      <c r="AP261" s="34"/>
      <c r="AQ261" s="34"/>
      <c r="AR261" s="34"/>
      <c r="AS261" s="34"/>
      <c r="AT261" s="34"/>
    </row>
    <row r="262" spans="1:46" ht="115.5" x14ac:dyDescent="0.25">
      <c r="A262" s="105">
        <v>2</v>
      </c>
      <c r="B262" s="105" t="s">
        <v>903</v>
      </c>
      <c r="C262" s="105" t="s">
        <v>894</v>
      </c>
      <c r="D262" s="105" t="s">
        <v>895</v>
      </c>
      <c r="E262" s="170" t="s">
        <v>896</v>
      </c>
      <c r="F262" s="105" t="s">
        <v>53</v>
      </c>
      <c r="G262" s="105" t="s">
        <v>54</v>
      </c>
      <c r="H262" s="171" t="s">
        <v>55</v>
      </c>
      <c r="I262" s="105" t="s">
        <v>56</v>
      </c>
      <c r="J262" s="105" t="s">
        <v>57</v>
      </c>
      <c r="K262" s="18">
        <v>80111600</v>
      </c>
      <c r="L262" s="18" t="s">
        <v>897</v>
      </c>
      <c r="M262" s="18" t="s">
        <v>59</v>
      </c>
      <c r="N262" s="18" t="s">
        <v>60</v>
      </c>
      <c r="O262" s="126" t="s">
        <v>898</v>
      </c>
      <c r="P262" s="26" t="s">
        <v>904</v>
      </c>
      <c r="Q262" s="26">
        <v>5036700</v>
      </c>
      <c r="R262" s="26">
        <v>1</v>
      </c>
      <c r="S262" s="26">
        <v>57922050</v>
      </c>
      <c r="T262" s="26" t="s">
        <v>900</v>
      </c>
      <c r="U262" s="105" t="s">
        <v>68</v>
      </c>
      <c r="V262" s="172" t="s">
        <v>308</v>
      </c>
      <c r="W262" s="173">
        <v>11.5</v>
      </c>
      <c r="X262" s="174" t="s">
        <v>905</v>
      </c>
      <c r="Y262" s="36">
        <v>43102</v>
      </c>
      <c r="Z262" s="175">
        <v>57922050</v>
      </c>
      <c r="AA262" s="37"/>
      <c r="AB262" s="40">
        <v>56</v>
      </c>
      <c r="AC262" s="176">
        <v>43103</v>
      </c>
      <c r="AD262" s="177">
        <v>57922050</v>
      </c>
      <c r="AE262" s="104">
        <f t="shared" ref="AE262:AE269" si="39">S262-AD262</f>
        <v>0</v>
      </c>
      <c r="AF262" s="40">
        <v>99</v>
      </c>
      <c r="AG262" s="176">
        <v>43116</v>
      </c>
      <c r="AH262" s="177">
        <v>57922050</v>
      </c>
      <c r="AI262" s="126" t="s">
        <v>906</v>
      </c>
      <c r="AJ262" s="40">
        <v>85</v>
      </c>
      <c r="AK262" s="34"/>
      <c r="AL262" s="177">
        <v>12423860</v>
      </c>
      <c r="AM262" s="178">
        <f t="shared" ref="AM262:AM269" si="40">AH262-AL262</f>
        <v>45498190</v>
      </c>
      <c r="AN262" s="34"/>
      <c r="AO262" s="34"/>
      <c r="AP262" s="34"/>
      <c r="AQ262" s="34"/>
      <c r="AR262" s="34"/>
      <c r="AS262" s="34"/>
      <c r="AT262" s="34"/>
    </row>
    <row r="263" spans="1:46" ht="141" x14ac:dyDescent="0.25">
      <c r="A263" s="105">
        <v>3</v>
      </c>
      <c r="B263" s="105" t="s">
        <v>907</v>
      </c>
      <c r="C263" s="105" t="s">
        <v>894</v>
      </c>
      <c r="D263" s="105" t="s">
        <v>895</v>
      </c>
      <c r="E263" s="170" t="s">
        <v>896</v>
      </c>
      <c r="F263" s="105" t="s">
        <v>53</v>
      </c>
      <c r="G263" s="105" t="s">
        <v>54</v>
      </c>
      <c r="H263" s="171" t="s">
        <v>55</v>
      </c>
      <c r="I263" s="105" t="s">
        <v>56</v>
      </c>
      <c r="J263" s="105" t="s">
        <v>57</v>
      </c>
      <c r="K263" s="18">
        <v>80111600</v>
      </c>
      <c r="L263" s="18" t="s">
        <v>897</v>
      </c>
      <c r="M263" s="18" t="s">
        <v>59</v>
      </c>
      <c r="N263" s="18" t="s">
        <v>60</v>
      </c>
      <c r="O263" s="126" t="s">
        <v>898</v>
      </c>
      <c r="P263" s="26" t="s">
        <v>908</v>
      </c>
      <c r="Q263" s="26">
        <v>4120000</v>
      </c>
      <c r="R263" s="26">
        <v>1</v>
      </c>
      <c r="S263" s="26">
        <v>47045250</v>
      </c>
      <c r="T263" s="26" t="s">
        <v>900</v>
      </c>
      <c r="U263" s="105" t="s">
        <v>68</v>
      </c>
      <c r="V263" s="172" t="s">
        <v>308</v>
      </c>
      <c r="W263" s="173">
        <v>11.5</v>
      </c>
      <c r="X263" s="174" t="s">
        <v>909</v>
      </c>
      <c r="Y263" s="36">
        <v>43102</v>
      </c>
      <c r="Z263" s="175">
        <v>47045250</v>
      </c>
      <c r="AA263" s="37"/>
      <c r="AB263" s="40">
        <v>57</v>
      </c>
      <c r="AC263" s="176">
        <v>43103</v>
      </c>
      <c r="AD263" s="177">
        <v>46968000</v>
      </c>
      <c r="AE263" s="104">
        <f>S263-AD263</f>
        <v>77250</v>
      </c>
      <c r="AF263" s="40">
        <v>219</v>
      </c>
      <c r="AG263" s="176">
        <v>43118</v>
      </c>
      <c r="AH263" s="177">
        <v>46968000</v>
      </c>
      <c r="AI263" s="126" t="s">
        <v>910</v>
      </c>
      <c r="AJ263" s="40">
        <v>187</v>
      </c>
      <c r="AK263" s="34"/>
      <c r="AL263" s="177">
        <v>9888000</v>
      </c>
      <c r="AM263" s="178">
        <f t="shared" si="40"/>
        <v>37080000</v>
      </c>
      <c r="AN263" s="34"/>
      <c r="AO263" s="34"/>
      <c r="AP263" s="34"/>
      <c r="AQ263" s="34"/>
      <c r="AR263" s="34"/>
      <c r="AS263" s="34"/>
      <c r="AT263" s="34"/>
    </row>
    <row r="264" spans="1:46" ht="153.75" x14ac:dyDescent="0.25">
      <c r="A264" s="105">
        <v>4</v>
      </c>
      <c r="B264" s="105" t="s">
        <v>911</v>
      </c>
      <c r="C264" s="105" t="s">
        <v>894</v>
      </c>
      <c r="D264" s="105" t="s">
        <v>895</v>
      </c>
      <c r="E264" s="170" t="s">
        <v>912</v>
      </c>
      <c r="F264" s="105" t="s">
        <v>53</v>
      </c>
      <c r="G264" s="105" t="s">
        <v>54</v>
      </c>
      <c r="H264" s="171" t="s">
        <v>55</v>
      </c>
      <c r="I264" s="105" t="s">
        <v>56</v>
      </c>
      <c r="J264" s="105" t="s">
        <v>57</v>
      </c>
      <c r="K264" s="18">
        <v>80111600</v>
      </c>
      <c r="L264" s="18" t="s">
        <v>897</v>
      </c>
      <c r="M264" s="18" t="s">
        <v>59</v>
      </c>
      <c r="N264" s="18" t="s">
        <v>60</v>
      </c>
      <c r="O264" s="126" t="s">
        <v>898</v>
      </c>
      <c r="P264" s="26" t="s">
        <v>913</v>
      </c>
      <c r="Q264" s="26">
        <v>5036700</v>
      </c>
      <c r="R264" s="26">
        <v>1</v>
      </c>
      <c r="S264" s="26">
        <v>57922050</v>
      </c>
      <c r="T264" s="26" t="s">
        <v>900</v>
      </c>
      <c r="U264" s="105" t="s">
        <v>68</v>
      </c>
      <c r="V264" s="172" t="s">
        <v>308</v>
      </c>
      <c r="W264" s="173">
        <v>11.5</v>
      </c>
      <c r="X264" s="174" t="s">
        <v>914</v>
      </c>
      <c r="Y264" s="36">
        <v>43102</v>
      </c>
      <c r="Z264" s="175">
        <v>57922050</v>
      </c>
      <c r="AA264" s="37"/>
      <c r="AB264" s="40">
        <v>58</v>
      </c>
      <c r="AC264" s="176">
        <v>43103</v>
      </c>
      <c r="AD264" s="177">
        <v>57922050</v>
      </c>
      <c r="AE264" s="104">
        <f t="shared" si="39"/>
        <v>0</v>
      </c>
      <c r="AF264" s="40">
        <v>94</v>
      </c>
      <c r="AG264" s="176">
        <v>43116</v>
      </c>
      <c r="AH264" s="177">
        <v>57922050</v>
      </c>
      <c r="AI264" s="126" t="s">
        <v>915</v>
      </c>
      <c r="AJ264" s="40">
        <v>90</v>
      </c>
      <c r="AK264" s="34"/>
      <c r="AL264" s="177">
        <v>12423860</v>
      </c>
      <c r="AM264" s="178">
        <f t="shared" si="40"/>
        <v>45498190</v>
      </c>
      <c r="AN264" s="34"/>
      <c r="AO264" s="34"/>
      <c r="AP264" s="34"/>
      <c r="AQ264" s="34"/>
      <c r="AR264" s="34"/>
      <c r="AS264" s="34"/>
      <c r="AT264" s="34"/>
    </row>
    <row r="265" spans="1:46" ht="141" x14ac:dyDescent="0.25">
      <c r="A265" s="105">
        <v>5</v>
      </c>
      <c r="B265" s="105" t="s">
        <v>916</v>
      </c>
      <c r="C265" s="105" t="s">
        <v>894</v>
      </c>
      <c r="D265" s="105" t="s">
        <v>895</v>
      </c>
      <c r="E265" s="170" t="s">
        <v>896</v>
      </c>
      <c r="F265" s="105" t="s">
        <v>53</v>
      </c>
      <c r="G265" s="105" t="s">
        <v>54</v>
      </c>
      <c r="H265" s="171" t="s">
        <v>55</v>
      </c>
      <c r="I265" s="105" t="s">
        <v>56</v>
      </c>
      <c r="J265" s="105" t="s">
        <v>57</v>
      </c>
      <c r="K265" s="18">
        <v>80111600</v>
      </c>
      <c r="L265" s="18" t="s">
        <v>897</v>
      </c>
      <c r="M265" s="18" t="s">
        <v>59</v>
      </c>
      <c r="N265" s="18" t="s">
        <v>60</v>
      </c>
      <c r="O265" s="126" t="s">
        <v>898</v>
      </c>
      <c r="P265" s="26" t="s">
        <v>917</v>
      </c>
      <c r="Q265" s="26">
        <v>6180000</v>
      </c>
      <c r="R265" s="26">
        <v>1</v>
      </c>
      <c r="S265" s="26">
        <v>71070000</v>
      </c>
      <c r="T265" s="26" t="s">
        <v>900</v>
      </c>
      <c r="U265" s="105" t="s">
        <v>68</v>
      </c>
      <c r="V265" s="172" t="s">
        <v>308</v>
      </c>
      <c r="W265" s="173">
        <v>11.5</v>
      </c>
      <c r="X265" s="174" t="s">
        <v>918</v>
      </c>
      <c r="Y265" s="36">
        <v>43102</v>
      </c>
      <c r="Z265" s="175">
        <v>71070000</v>
      </c>
      <c r="AA265" s="37"/>
      <c r="AB265" s="40">
        <v>59</v>
      </c>
      <c r="AC265" s="176">
        <v>43103</v>
      </c>
      <c r="AD265" s="177">
        <v>71070000</v>
      </c>
      <c r="AE265" s="104">
        <f t="shared" si="39"/>
        <v>0</v>
      </c>
      <c r="AF265" s="40">
        <v>224</v>
      </c>
      <c r="AG265" s="176">
        <v>43118</v>
      </c>
      <c r="AH265" s="177">
        <v>71070000</v>
      </c>
      <c r="AI265" s="126" t="s">
        <v>919</v>
      </c>
      <c r="AJ265" s="40">
        <v>198</v>
      </c>
      <c r="AK265" s="34"/>
      <c r="AL265" s="177">
        <v>14832000</v>
      </c>
      <c r="AM265" s="178">
        <f t="shared" si="40"/>
        <v>56238000</v>
      </c>
      <c r="AN265" s="34"/>
      <c r="AO265" s="34"/>
      <c r="AP265" s="34"/>
      <c r="AQ265" s="34"/>
      <c r="AR265" s="34"/>
      <c r="AS265" s="34"/>
      <c r="AT265" s="34"/>
    </row>
    <row r="266" spans="1:46" ht="115.5" x14ac:dyDescent="0.25">
      <c r="A266" s="105">
        <v>6</v>
      </c>
      <c r="B266" s="105" t="s">
        <v>920</v>
      </c>
      <c r="C266" s="105" t="s">
        <v>894</v>
      </c>
      <c r="D266" s="105" t="s">
        <v>895</v>
      </c>
      <c r="E266" s="170" t="s">
        <v>896</v>
      </c>
      <c r="F266" s="105" t="s">
        <v>53</v>
      </c>
      <c r="G266" s="105" t="s">
        <v>54</v>
      </c>
      <c r="H266" s="171" t="s">
        <v>55</v>
      </c>
      <c r="I266" s="105" t="s">
        <v>56</v>
      </c>
      <c r="J266" s="105" t="s">
        <v>57</v>
      </c>
      <c r="K266" s="18">
        <v>80111600</v>
      </c>
      <c r="L266" s="18" t="s">
        <v>897</v>
      </c>
      <c r="M266" s="18" t="s">
        <v>59</v>
      </c>
      <c r="N266" s="18" t="s">
        <v>60</v>
      </c>
      <c r="O266" s="126" t="s">
        <v>898</v>
      </c>
      <c r="P266" s="26" t="s">
        <v>921</v>
      </c>
      <c r="Q266" s="26">
        <v>5036700</v>
      </c>
      <c r="R266" s="26">
        <v>1</v>
      </c>
      <c r="S266" s="26">
        <v>57922050</v>
      </c>
      <c r="T266" s="26" t="s">
        <v>900</v>
      </c>
      <c r="U266" s="105" t="s">
        <v>68</v>
      </c>
      <c r="V266" s="172" t="s">
        <v>308</v>
      </c>
      <c r="W266" s="173">
        <v>11.5</v>
      </c>
      <c r="X266" s="174" t="s">
        <v>922</v>
      </c>
      <c r="Y266" s="36">
        <v>43102</v>
      </c>
      <c r="Z266" s="175">
        <v>57922050</v>
      </c>
      <c r="AA266" s="37"/>
      <c r="AB266" s="40">
        <v>64</v>
      </c>
      <c r="AC266" s="176">
        <v>43103</v>
      </c>
      <c r="AD266" s="177">
        <v>57922050</v>
      </c>
      <c r="AE266" s="104">
        <f t="shared" si="39"/>
        <v>0</v>
      </c>
      <c r="AF266" s="40">
        <v>101</v>
      </c>
      <c r="AG266" s="176">
        <v>43116</v>
      </c>
      <c r="AH266" s="177">
        <v>57922050</v>
      </c>
      <c r="AI266" s="126" t="s">
        <v>923</v>
      </c>
      <c r="AJ266" s="40">
        <v>86</v>
      </c>
      <c r="AK266" s="34"/>
      <c r="AL266" s="177">
        <v>12423860</v>
      </c>
      <c r="AM266" s="178">
        <f t="shared" si="40"/>
        <v>45498190</v>
      </c>
      <c r="AN266" s="34"/>
      <c r="AO266" s="34"/>
      <c r="AP266" s="34"/>
      <c r="AQ266" s="34"/>
      <c r="AR266" s="34"/>
      <c r="AS266" s="34"/>
      <c r="AT266" s="34"/>
    </row>
    <row r="267" spans="1:46" ht="102.75" x14ac:dyDescent="0.25">
      <c r="A267" s="105">
        <v>7</v>
      </c>
      <c r="B267" s="105" t="s">
        <v>924</v>
      </c>
      <c r="C267" s="105" t="s">
        <v>894</v>
      </c>
      <c r="D267" s="105" t="s">
        <v>895</v>
      </c>
      <c r="E267" s="170" t="s">
        <v>896</v>
      </c>
      <c r="F267" s="105" t="s">
        <v>53</v>
      </c>
      <c r="G267" s="105" t="s">
        <v>54</v>
      </c>
      <c r="H267" s="171" t="s">
        <v>55</v>
      </c>
      <c r="I267" s="105" t="s">
        <v>56</v>
      </c>
      <c r="J267" s="105" t="s">
        <v>57</v>
      </c>
      <c r="K267" s="18">
        <v>80111600</v>
      </c>
      <c r="L267" s="18" t="s">
        <v>897</v>
      </c>
      <c r="M267" s="18" t="s">
        <v>59</v>
      </c>
      <c r="N267" s="18" t="s">
        <v>60</v>
      </c>
      <c r="O267" s="126" t="s">
        <v>898</v>
      </c>
      <c r="P267" s="26" t="s">
        <v>925</v>
      </c>
      <c r="Q267" s="26">
        <v>12360000</v>
      </c>
      <c r="R267" s="26">
        <v>1</v>
      </c>
      <c r="S267" s="26">
        <v>135960000</v>
      </c>
      <c r="T267" s="26" t="s">
        <v>900</v>
      </c>
      <c r="U267" s="105" t="s">
        <v>68</v>
      </c>
      <c r="V267" s="172" t="s">
        <v>308</v>
      </c>
      <c r="W267" s="173">
        <v>11</v>
      </c>
      <c r="X267" s="174" t="s">
        <v>926</v>
      </c>
      <c r="Y267" s="36">
        <v>43102</v>
      </c>
      <c r="Z267" s="175">
        <v>135960000</v>
      </c>
      <c r="AA267" s="37"/>
      <c r="AB267" s="40">
        <v>66</v>
      </c>
      <c r="AC267" s="176">
        <v>43103</v>
      </c>
      <c r="AD267" s="177">
        <v>135960000</v>
      </c>
      <c r="AE267" s="104">
        <f t="shared" si="39"/>
        <v>0</v>
      </c>
      <c r="AF267" s="40">
        <v>460</v>
      </c>
      <c r="AG267" s="176">
        <v>43126</v>
      </c>
      <c r="AH267" s="177">
        <v>135960000</v>
      </c>
      <c r="AI267" s="126" t="s">
        <v>927</v>
      </c>
      <c r="AJ267" s="40">
        <v>387</v>
      </c>
      <c r="AK267" s="34"/>
      <c r="AL267" s="177">
        <v>26780000</v>
      </c>
      <c r="AM267" s="178">
        <f t="shared" si="40"/>
        <v>109180000</v>
      </c>
      <c r="AN267" s="34"/>
      <c r="AO267" s="34"/>
      <c r="AP267" s="34"/>
      <c r="AQ267" s="34"/>
      <c r="AR267" s="34"/>
      <c r="AS267" s="34"/>
      <c r="AT267" s="34"/>
    </row>
    <row r="268" spans="1:46" ht="141" x14ac:dyDescent="0.25">
      <c r="A268" s="105">
        <v>8</v>
      </c>
      <c r="B268" s="105" t="s">
        <v>928</v>
      </c>
      <c r="C268" s="105" t="s">
        <v>894</v>
      </c>
      <c r="D268" s="105" t="s">
        <v>895</v>
      </c>
      <c r="E268" s="170" t="s">
        <v>896</v>
      </c>
      <c r="F268" s="105" t="s">
        <v>53</v>
      </c>
      <c r="G268" s="105" t="s">
        <v>54</v>
      </c>
      <c r="H268" s="171" t="s">
        <v>55</v>
      </c>
      <c r="I268" s="105" t="s">
        <v>56</v>
      </c>
      <c r="J268" s="105" t="s">
        <v>57</v>
      </c>
      <c r="K268" s="18">
        <v>80111600</v>
      </c>
      <c r="L268" s="18" t="s">
        <v>897</v>
      </c>
      <c r="M268" s="18" t="s">
        <v>59</v>
      </c>
      <c r="N268" s="18" t="s">
        <v>60</v>
      </c>
      <c r="O268" s="126" t="s">
        <v>898</v>
      </c>
      <c r="P268" s="26" t="s">
        <v>929</v>
      </c>
      <c r="Q268" s="26">
        <v>3399139.1304347827</v>
      </c>
      <c r="R268" s="26">
        <v>1</v>
      </c>
      <c r="S268" s="26">
        <v>39090100</v>
      </c>
      <c r="T268" s="26" t="s">
        <v>900</v>
      </c>
      <c r="U268" s="105" t="s">
        <v>68</v>
      </c>
      <c r="V268" s="172" t="s">
        <v>308</v>
      </c>
      <c r="W268" s="173">
        <v>11.5</v>
      </c>
      <c r="X268" s="174" t="s">
        <v>930</v>
      </c>
      <c r="Y268" s="36">
        <v>43102</v>
      </c>
      <c r="Z268" s="175">
        <v>39090100</v>
      </c>
      <c r="AA268" s="37"/>
      <c r="AB268" s="40">
        <v>103</v>
      </c>
      <c r="AC268" s="176">
        <v>43103</v>
      </c>
      <c r="AD268" s="177">
        <v>39088500</v>
      </c>
      <c r="AE268" s="104">
        <f t="shared" si="39"/>
        <v>1600</v>
      </c>
      <c r="AF268" s="40">
        <v>111</v>
      </c>
      <c r="AG268" s="176">
        <v>43117</v>
      </c>
      <c r="AH268" s="177">
        <v>39088500</v>
      </c>
      <c r="AI268" s="126" t="s">
        <v>931</v>
      </c>
      <c r="AJ268" s="40">
        <v>104</v>
      </c>
      <c r="AK268" s="34"/>
      <c r="AL268" s="177">
        <v>8384200</v>
      </c>
      <c r="AM268" s="178">
        <f t="shared" si="40"/>
        <v>30704300</v>
      </c>
      <c r="AN268" s="34"/>
      <c r="AO268" s="34"/>
      <c r="AP268" s="34"/>
      <c r="AQ268" s="34"/>
      <c r="AR268" s="34"/>
      <c r="AS268" s="34"/>
      <c r="AT268" s="34"/>
    </row>
    <row r="269" spans="1:46" ht="102" x14ac:dyDescent="0.25">
      <c r="A269" s="105">
        <v>9</v>
      </c>
      <c r="B269" s="105" t="s">
        <v>932</v>
      </c>
      <c r="C269" s="105" t="s">
        <v>894</v>
      </c>
      <c r="D269" s="105" t="s">
        <v>895</v>
      </c>
      <c r="E269" s="170" t="s">
        <v>912</v>
      </c>
      <c r="F269" s="105" t="s">
        <v>53</v>
      </c>
      <c r="G269" s="105" t="s">
        <v>54</v>
      </c>
      <c r="H269" s="171" t="s">
        <v>55</v>
      </c>
      <c r="I269" s="105" t="s">
        <v>56</v>
      </c>
      <c r="J269" s="105" t="s">
        <v>57</v>
      </c>
      <c r="K269" s="18">
        <v>80111600</v>
      </c>
      <c r="L269" s="18" t="s">
        <v>897</v>
      </c>
      <c r="M269" s="18" t="s">
        <v>59</v>
      </c>
      <c r="N269" s="18" t="s">
        <v>60</v>
      </c>
      <c r="O269" s="126" t="s">
        <v>898</v>
      </c>
      <c r="P269" s="25" t="s">
        <v>933</v>
      </c>
      <c r="Q269" s="179">
        <v>3038500</v>
      </c>
      <c r="R269" s="26">
        <v>1</v>
      </c>
      <c r="S269" s="26">
        <f>+Q269*W269</f>
        <v>34942750</v>
      </c>
      <c r="T269" s="26" t="s">
        <v>934</v>
      </c>
      <c r="U269" s="105" t="s">
        <v>68</v>
      </c>
      <c r="V269" s="172" t="s">
        <v>308</v>
      </c>
      <c r="W269" s="173">
        <v>11.5</v>
      </c>
      <c r="X269" s="174" t="s">
        <v>935</v>
      </c>
      <c r="Y269" s="36">
        <v>43102</v>
      </c>
      <c r="Z269" s="175">
        <v>34942750</v>
      </c>
      <c r="AA269" s="37"/>
      <c r="AB269" s="40">
        <v>104</v>
      </c>
      <c r="AC269" s="176">
        <v>43103</v>
      </c>
      <c r="AD269" s="177">
        <v>34942750</v>
      </c>
      <c r="AE269" s="104">
        <f t="shared" si="39"/>
        <v>0</v>
      </c>
      <c r="AF269" s="40">
        <v>46</v>
      </c>
      <c r="AG269" s="176">
        <v>43116</v>
      </c>
      <c r="AH269" s="177">
        <v>34942750</v>
      </c>
      <c r="AI269" s="180" t="s">
        <v>936</v>
      </c>
      <c r="AJ269" s="40">
        <v>51</v>
      </c>
      <c r="AK269" s="34"/>
      <c r="AL269" s="177">
        <v>7494967</v>
      </c>
      <c r="AM269" s="178">
        <f t="shared" si="40"/>
        <v>27447783</v>
      </c>
      <c r="AN269" s="34"/>
      <c r="AO269" s="34"/>
      <c r="AP269" s="34"/>
      <c r="AQ269" s="34"/>
      <c r="AR269" s="34"/>
      <c r="AS269" s="34"/>
      <c r="AT269" s="34"/>
    </row>
    <row r="270" spans="1:46" ht="102" x14ac:dyDescent="0.25">
      <c r="A270" s="105">
        <v>10</v>
      </c>
      <c r="B270" s="105" t="s">
        <v>937</v>
      </c>
      <c r="C270" s="105" t="s">
        <v>894</v>
      </c>
      <c r="D270" s="105" t="s">
        <v>895</v>
      </c>
      <c r="E270" s="170" t="s">
        <v>896</v>
      </c>
      <c r="F270" s="105" t="s">
        <v>186</v>
      </c>
      <c r="G270" s="105" t="s">
        <v>938</v>
      </c>
      <c r="H270" s="181" t="s">
        <v>939</v>
      </c>
      <c r="I270" s="105" t="s">
        <v>56</v>
      </c>
      <c r="J270" s="105" t="s">
        <v>57</v>
      </c>
      <c r="K270" s="105">
        <v>82101600</v>
      </c>
      <c r="L270" s="18" t="s">
        <v>897</v>
      </c>
      <c r="M270" s="18" t="s">
        <v>59</v>
      </c>
      <c r="N270" s="18" t="s">
        <v>60</v>
      </c>
      <c r="O270" s="126" t="s">
        <v>898</v>
      </c>
      <c r="P270" s="26" t="s">
        <v>940</v>
      </c>
      <c r="Q270" s="182">
        <f>S270/W270</f>
        <v>41711050</v>
      </c>
      <c r="R270" s="26">
        <v>1</v>
      </c>
      <c r="S270" s="183">
        <v>333688400</v>
      </c>
      <c r="T270" s="18" t="s">
        <v>184</v>
      </c>
      <c r="U270" s="105" t="s">
        <v>68</v>
      </c>
      <c r="V270" s="172">
        <v>43231</v>
      </c>
      <c r="W270" s="184">
        <v>8</v>
      </c>
      <c r="X270" s="174"/>
      <c r="Y270" s="36"/>
      <c r="Z270" s="37"/>
      <c r="AA270" s="37"/>
      <c r="AB270" s="38"/>
      <c r="AC270" s="34"/>
      <c r="AD270" s="178"/>
      <c r="AE270" s="34"/>
      <c r="AF270" s="40"/>
      <c r="AG270" s="18"/>
      <c r="AH270" s="185"/>
      <c r="AI270" s="18"/>
      <c r="AJ270" s="34"/>
      <c r="AK270" s="34"/>
      <c r="AL270" s="186"/>
      <c r="AM270" s="178"/>
      <c r="AN270" s="34"/>
      <c r="AO270" s="34"/>
      <c r="AP270" s="34"/>
      <c r="AQ270" s="34"/>
      <c r="AR270" s="34"/>
      <c r="AS270" s="34"/>
      <c r="AT270" s="34"/>
    </row>
    <row r="271" spans="1:46" ht="102" x14ac:dyDescent="0.25">
      <c r="A271" s="105">
        <v>11</v>
      </c>
      <c r="B271" s="105" t="s">
        <v>941</v>
      </c>
      <c r="C271" s="105" t="s">
        <v>894</v>
      </c>
      <c r="D271" s="105" t="s">
        <v>895</v>
      </c>
      <c r="E271" s="170" t="s">
        <v>896</v>
      </c>
      <c r="F271" s="105" t="s">
        <v>186</v>
      </c>
      <c r="G271" s="105" t="s">
        <v>938</v>
      </c>
      <c r="H271" s="181" t="s">
        <v>939</v>
      </c>
      <c r="I271" s="105" t="s">
        <v>56</v>
      </c>
      <c r="J271" s="105" t="s">
        <v>57</v>
      </c>
      <c r="K271" s="105">
        <v>82101600</v>
      </c>
      <c r="L271" s="18" t="s">
        <v>897</v>
      </c>
      <c r="M271" s="18" t="s">
        <v>59</v>
      </c>
      <c r="N271" s="18" t="s">
        <v>60</v>
      </c>
      <c r="O271" s="126" t="s">
        <v>898</v>
      </c>
      <c r="P271" s="26" t="s">
        <v>942</v>
      </c>
      <c r="Q271" s="26">
        <v>16109400</v>
      </c>
      <c r="R271" s="26">
        <v>1</v>
      </c>
      <c r="S271" s="26">
        <v>64437600</v>
      </c>
      <c r="T271" s="18" t="s">
        <v>184</v>
      </c>
      <c r="U271" s="105" t="s">
        <v>68</v>
      </c>
      <c r="V271" s="172" t="s">
        <v>943</v>
      </c>
      <c r="W271" s="184">
        <v>4</v>
      </c>
      <c r="X271" s="174"/>
      <c r="Y271" s="36"/>
      <c r="Z271" s="37"/>
      <c r="AA271" s="37"/>
      <c r="AB271" s="38"/>
      <c r="AC271" s="34"/>
      <c r="AD271" s="34"/>
      <c r="AE271" s="34"/>
      <c r="AF271" s="40"/>
      <c r="AG271" s="18"/>
      <c r="AH271" s="18"/>
      <c r="AI271" s="18"/>
      <c r="AJ271" s="34"/>
      <c r="AK271" s="34"/>
      <c r="AL271" s="186"/>
      <c r="AM271" s="34"/>
      <c r="AN271" s="34"/>
      <c r="AO271" s="34"/>
      <c r="AP271" s="34"/>
      <c r="AQ271" s="34"/>
      <c r="AR271" s="34"/>
      <c r="AS271" s="34"/>
      <c r="AT271" s="34"/>
    </row>
    <row r="272" spans="1:46" ht="102" x14ac:dyDescent="0.25">
      <c r="A272" s="105">
        <v>12</v>
      </c>
      <c r="B272" s="105" t="s">
        <v>944</v>
      </c>
      <c r="C272" s="105" t="s">
        <v>894</v>
      </c>
      <c r="D272" s="105" t="s">
        <v>895</v>
      </c>
      <c r="E272" s="170" t="s">
        <v>912</v>
      </c>
      <c r="F272" s="105" t="s">
        <v>53</v>
      </c>
      <c r="G272" s="105" t="s">
        <v>54</v>
      </c>
      <c r="H272" s="171" t="s">
        <v>55</v>
      </c>
      <c r="I272" s="105" t="s">
        <v>56</v>
      </c>
      <c r="J272" s="105" t="s">
        <v>57</v>
      </c>
      <c r="K272" s="18">
        <v>80111600</v>
      </c>
      <c r="L272" s="18" t="s">
        <v>897</v>
      </c>
      <c r="M272" s="18" t="s">
        <v>59</v>
      </c>
      <c r="N272" s="18" t="s">
        <v>60</v>
      </c>
      <c r="O272" s="126" t="s">
        <v>898</v>
      </c>
      <c r="P272" s="25" t="s">
        <v>933</v>
      </c>
      <c r="Q272" s="179">
        <v>3038500</v>
      </c>
      <c r="R272" s="26">
        <v>1</v>
      </c>
      <c r="S272" s="175">
        <v>4145750</v>
      </c>
      <c r="T272" s="26" t="s">
        <v>934</v>
      </c>
      <c r="U272" s="105" t="s">
        <v>68</v>
      </c>
      <c r="V272" s="26"/>
      <c r="W272" s="187">
        <f>+S272/Q272</f>
        <v>1.3644067796610169</v>
      </c>
      <c r="X272" s="174"/>
      <c r="Y272" s="36"/>
      <c r="Z272" s="37"/>
      <c r="AA272" s="37"/>
      <c r="AB272" s="38"/>
      <c r="AC272" s="34"/>
      <c r="AD272" s="34"/>
      <c r="AE272" s="34"/>
      <c r="AF272" s="40"/>
      <c r="AG272" s="18"/>
      <c r="AH272" s="18"/>
      <c r="AI272" s="18"/>
      <c r="AJ272" s="34"/>
      <c r="AK272" s="34"/>
      <c r="AL272" s="186"/>
      <c r="AM272" s="34"/>
      <c r="AN272" s="34"/>
      <c r="AO272" s="34"/>
      <c r="AP272" s="34"/>
      <c r="AQ272" s="34"/>
      <c r="AR272" s="34"/>
      <c r="AS272" s="34"/>
      <c r="AT272" s="34"/>
    </row>
    <row r="273" spans="1:46" ht="102" x14ac:dyDescent="0.25">
      <c r="A273" s="105">
        <v>1</v>
      </c>
      <c r="B273" s="105" t="s">
        <v>945</v>
      </c>
      <c r="C273" s="105" t="s">
        <v>946</v>
      </c>
      <c r="D273" s="105" t="s">
        <v>947</v>
      </c>
      <c r="E273" s="105" t="s">
        <v>948</v>
      </c>
      <c r="F273" s="105" t="s">
        <v>53</v>
      </c>
      <c r="G273" s="105" t="s">
        <v>54</v>
      </c>
      <c r="H273" s="171" t="s">
        <v>55</v>
      </c>
      <c r="I273" s="105" t="s">
        <v>56</v>
      </c>
      <c r="J273" s="105" t="s">
        <v>57</v>
      </c>
      <c r="K273" s="18">
        <v>80111600</v>
      </c>
      <c r="L273" s="18" t="s">
        <v>949</v>
      </c>
      <c r="M273" s="18" t="s">
        <v>59</v>
      </c>
      <c r="N273" s="18" t="s">
        <v>60</v>
      </c>
      <c r="O273" s="126" t="s">
        <v>898</v>
      </c>
      <c r="P273" s="18" t="s">
        <v>950</v>
      </c>
      <c r="Q273" s="188">
        <v>7210000</v>
      </c>
      <c r="R273" s="184">
        <v>1</v>
      </c>
      <c r="S273" s="188">
        <v>83636000</v>
      </c>
      <c r="T273" s="26" t="s">
        <v>900</v>
      </c>
      <c r="U273" s="105" t="s">
        <v>68</v>
      </c>
      <c r="V273" s="172" t="s">
        <v>411</v>
      </c>
      <c r="W273" s="173">
        <v>11.57</v>
      </c>
      <c r="X273" s="106" t="s">
        <v>951</v>
      </c>
      <c r="Y273" s="107">
        <v>43102</v>
      </c>
      <c r="Z273" s="188">
        <v>83636000</v>
      </c>
      <c r="AA273" s="126"/>
      <c r="AB273" s="126">
        <v>90</v>
      </c>
      <c r="AC273" s="107">
        <v>43103</v>
      </c>
      <c r="AD273" s="177">
        <v>82915000</v>
      </c>
      <c r="AE273" s="189">
        <f t="shared" ref="AE273:AE301" si="41">S273-Z273</f>
        <v>0</v>
      </c>
      <c r="AF273" s="124">
        <v>166</v>
      </c>
      <c r="AG273" s="107">
        <v>43118</v>
      </c>
      <c r="AH273" s="177">
        <v>82915000</v>
      </c>
      <c r="AI273" s="126" t="s">
        <v>952</v>
      </c>
      <c r="AJ273" s="169">
        <v>124</v>
      </c>
      <c r="AK273" s="126"/>
      <c r="AL273" s="190">
        <v>17544333</v>
      </c>
      <c r="AM273" s="191">
        <f t="shared" ref="AM273:AM303" si="42">AH273-AL273</f>
        <v>65370667</v>
      </c>
      <c r="AN273" s="126"/>
      <c r="AO273" s="126"/>
      <c r="AP273" s="126"/>
      <c r="AQ273" s="126"/>
      <c r="AR273" s="126"/>
      <c r="AS273" s="126"/>
      <c r="AT273" s="126"/>
    </row>
    <row r="274" spans="1:46" ht="102" x14ac:dyDescent="0.25">
      <c r="A274" s="105">
        <f>+A273+1</f>
        <v>2</v>
      </c>
      <c r="B274" s="105" t="s">
        <v>953</v>
      </c>
      <c r="C274" s="105" t="s">
        <v>946</v>
      </c>
      <c r="D274" s="105" t="s">
        <v>947</v>
      </c>
      <c r="E274" s="105" t="s">
        <v>948</v>
      </c>
      <c r="F274" s="105" t="s">
        <v>53</v>
      </c>
      <c r="G274" s="105" t="s">
        <v>54</v>
      </c>
      <c r="H274" s="171" t="s">
        <v>55</v>
      </c>
      <c r="I274" s="105" t="s">
        <v>56</v>
      </c>
      <c r="J274" s="105" t="s">
        <v>57</v>
      </c>
      <c r="K274" s="18">
        <v>80111600</v>
      </c>
      <c r="L274" s="18" t="s">
        <v>949</v>
      </c>
      <c r="M274" s="18" t="s">
        <v>59</v>
      </c>
      <c r="N274" s="18" t="s">
        <v>60</v>
      </c>
      <c r="O274" s="126" t="s">
        <v>898</v>
      </c>
      <c r="P274" s="18" t="s">
        <v>954</v>
      </c>
      <c r="Q274" s="188">
        <v>4532000</v>
      </c>
      <c r="R274" s="184">
        <v>1</v>
      </c>
      <c r="S274" s="188">
        <v>36256000</v>
      </c>
      <c r="T274" s="26" t="s">
        <v>900</v>
      </c>
      <c r="U274" s="105" t="s">
        <v>68</v>
      </c>
      <c r="V274" s="172" t="s">
        <v>411</v>
      </c>
      <c r="W274" s="173">
        <v>8</v>
      </c>
      <c r="X274" s="106" t="s">
        <v>955</v>
      </c>
      <c r="Y274" s="107">
        <v>43102</v>
      </c>
      <c r="Z274" s="188">
        <v>36256000</v>
      </c>
      <c r="AA274" s="126"/>
      <c r="AB274" s="126">
        <v>91</v>
      </c>
      <c r="AC274" s="107">
        <v>43103</v>
      </c>
      <c r="AD274" s="177">
        <v>36256000</v>
      </c>
      <c r="AE274" s="189">
        <f t="shared" si="41"/>
        <v>0</v>
      </c>
      <c r="AF274" s="124">
        <v>490</v>
      </c>
      <c r="AG274" s="107">
        <v>43126</v>
      </c>
      <c r="AH274" s="177">
        <v>36256000</v>
      </c>
      <c r="AI274" s="126" t="s">
        <v>956</v>
      </c>
      <c r="AJ274" s="169">
        <v>419</v>
      </c>
      <c r="AK274" s="126"/>
      <c r="AL274" s="190">
        <v>9064000</v>
      </c>
      <c r="AM274" s="191">
        <f t="shared" si="42"/>
        <v>27192000</v>
      </c>
      <c r="AN274" s="126"/>
      <c r="AO274" s="126"/>
      <c r="AP274" s="126"/>
      <c r="AQ274" s="126"/>
      <c r="AR274" s="126"/>
      <c r="AS274" s="126"/>
      <c r="AT274" s="126"/>
    </row>
    <row r="275" spans="1:46" ht="102" x14ac:dyDescent="0.25">
      <c r="A275" s="105">
        <f t="shared" ref="A275:A305" si="43">+A274+1</f>
        <v>3</v>
      </c>
      <c r="B275" s="105" t="s">
        <v>957</v>
      </c>
      <c r="C275" s="105" t="s">
        <v>946</v>
      </c>
      <c r="D275" s="105" t="s">
        <v>947</v>
      </c>
      <c r="E275" s="105" t="s">
        <v>948</v>
      </c>
      <c r="F275" s="105" t="s">
        <v>53</v>
      </c>
      <c r="G275" s="105" t="s">
        <v>54</v>
      </c>
      <c r="H275" s="171" t="s">
        <v>55</v>
      </c>
      <c r="I275" s="105" t="s">
        <v>56</v>
      </c>
      <c r="J275" s="105" t="s">
        <v>57</v>
      </c>
      <c r="K275" s="18">
        <v>80111600</v>
      </c>
      <c r="L275" s="18" t="s">
        <v>949</v>
      </c>
      <c r="M275" s="18" t="s">
        <v>59</v>
      </c>
      <c r="N275" s="18" t="s">
        <v>60</v>
      </c>
      <c r="O275" s="126" t="s">
        <v>898</v>
      </c>
      <c r="P275" s="18" t="s">
        <v>958</v>
      </c>
      <c r="Q275" s="188">
        <v>5253000</v>
      </c>
      <c r="R275" s="184">
        <v>1</v>
      </c>
      <c r="S275" s="188">
        <v>59709100</v>
      </c>
      <c r="T275" s="26" t="s">
        <v>900</v>
      </c>
      <c r="U275" s="105" t="s">
        <v>68</v>
      </c>
      <c r="V275" s="172" t="s">
        <v>411</v>
      </c>
      <c r="W275" s="173">
        <v>11.4</v>
      </c>
      <c r="X275" s="106" t="s">
        <v>959</v>
      </c>
      <c r="Y275" s="107">
        <v>43102</v>
      </c>
      <c r="Z275" s="188">
        <v>59709100</v>
      </c>
      <c r="AA275" s="126"/>
      <c r="AB275" s="126">
        <v>92</v>
      </c>
      <c r="AC275" s="107">
        <v>43103</v>
      </c>
      <c r="AD275" s="177">
        <v>59709100</v>
      </c>
      <c r="AE275" s="189">
        <f t="shared" si="41"/>
        <v>0</v>
      </c>
      <c r="AF275" s="124">
        <v>468</v>
      </c>
      <c r="AG275" s="107">
        <v>43126</v>
      </c>
      <c r="AH275" s="177">
        <v>59709100</v>
      </c>
      <c r="AI275" s="126" t="s">
        <v>960</v>
      </c>
      <c r="AJ275" s="169">
        <v>395</v>
      </c>
      <c r="AK275" s="126"/>
      <c r="AL275" s="190">
        <v>11381500</v>
      </c>
      <c r="AM275" s="191">
        <f t="shared" si="42"/>
        <v>48327600</v>
      </c>
      <c r="AN275" s="126"/>
      <c r="AO275" s="126"/>
      <c r="AP275" s="126"/>
      <c r="AQ275" s="126"/>
      <c r="AR275" s="126"/>
      <c r="AS275" s="126"/>
      <c r="AT275" s="126"/>
    </row>
    <row r="276" spans="1:46" ht="102" x14ac:dyDescent="0.25">
      <c r="A276" s="105">
        <f t="shared" si="43"/>
        <v>4</v>
      </c>
      <c r="B276" s="105" t="s">
        <v>961</v>
      </c>
      <c r="C276" s="105" t="s">
        <v>946</v>
      </c>
      <c r="D276" s="105" t="s">
        <v>947</v>
      </c>
      <c r="E276" s="105" t="s">
        <v>948</v>
      </c>
      <c r="F276" s="105" t="s">
        <v>53</v>
      </c>
      <c r="G276" s="105" t="s">
        <v>54</v>
      </c>
      <c r="H276" s="171" t="s">
        <v>55</v>
      </c>
      <c r="I276" s="105" t="s">
        <v>56</v>
      </c>
      <c r="J276" s="105" t="s">
        <v>57</v>
      </c>
      <c r="K276" s="18">
        <v>80111600</v>
      </c>
      <c r="L276" s="18" t="s">
        <v>949</v>
      </c>
      <c r="M276" s="18" t="s">
        <v>59</v>
      </c>
      <c r="N276" s="18" t="s">
        <v>60</v>
      </c>
      <c r="O276" s="126" t="s">
        <v>898</v>
      </c>
      <c r="P276" s="18" t="s">
        <v>962</v>
      </c>
      <c r="Q276" s="188">
        <v>4532000</v>
      </c>
      <c r="R276" s="184">
        <v>1</v>
      </c>
      <c r="S276" s="188">
        <v>51966933.329999998</v>
      </c>
      <c r="T276" s="26" t="s">
        <v>900</v>
      </c>
      <c r="U276" s="105" t="s">
        <v>68</v>
      </c>
      <c r="V276" s="172" t="s">
        <v>411</v>
      </c>
      <c r="W276" s="173">
        <v>11.5</v>
      </c>
      <c r="X276" s="106" t="s">
        <v>963</v>
      </c>
      <c r="Y276" s="107">
        <v>43102</v>
      </c>
      <c r="Z276" s="188">
        <v>51966933.329999998</v>
      </c>
      <c r="AA276" s="126"/>
      <c r="AB276" s="126">
        <v>94</v>
      </c>
      <c r="AC276" s="107">
        <v>43103</v>
      </c>
      <c r="AD276" s="177">
        <v>51966933</v>
      </c>
      <c r="AE276" s="189">
        <f t="shared" si="41"/>
        <v>0</v>
      </c>
      <c r="AF276" s="124">
        <v>333</v>
      </c>
      <c r="AG276" s="107">
        <v>43123</v>
      </c>
      <c r="AH276" s="177">
        <v>51966933</v>
      </c>
      <c r="AI276" s="126" t="s">
        <v>964</v>
      </c>
      <c r="AJ276" s="169">
        <v>283</v>
      </c>
      <c r="AK276" s="126"/>
      <c r="AL276" s="190">
        <v>10272533</v>
      </c>
      <c r="AM276" s="191">
        <f t="shared" si="42"/>
        <v>41694400</v>
      </c>
      <c r="AN276" s="126"/>
      <c r="AO276" s="126"/>
      <c r="AP276" s="126"/>
      <c r="AQ276" s="126"/>
      <c r="AR276" s="126"/>
      <c r="AS276" s="126"/>
      <c r="AT276" s="126"/>
    </row>
    <row r="277" spans="1:46" ht="102" x14ac:dyDescent="0.25">
      <c r="A277" s="105">
        <f t="shared" si="43"/>
        <v>5</v>
      </c>
      <c r="B277" s="105" t="s">
        <v>965</v>
      </c>
      <c r="C277" s="105" t="s">
        <v>946</v>
      </c>
      <c r="D277" s="105" t="s">
        <v>947</v>
      </c>
      <c r="E277" s="105" t="s">
        <v>948</v>
      </c>
      <c r="F277" s="105" t="s">
        <v>53</v>
      </c>
      <c r="G277" s="105" t="s">
        <v>54</v>
      </c>
      <c r="H277" s="171" t="s">
        <v>55</v>
      </c>
      <c r="I277" s="105" t="s">
        <v>56</v>
      </c>
      <c r="J277" s="105" t="s">
        <v>57</v>
      </c>
      <c r="K277" s="18">
        <v>80111600</v>
      </c>
      <c r="L277" s="18" t="s">
        <v>949</v>
      </c>
      <c r="M277" s="18" t="s">
        <v>59</v>
      </c>
      <c r="N277" s="18" t="s">
        <v>60</v>
      </c>
      <c r="O277" s="126" t="s">
        <v>898</v>
      </c>
      <c r="P277" s="18" t="s">
        <v>966</v>
      </c>
      <c r="Q277" s="188">
        <v>3326900</v>
      </c>
      <c r="R277" s="184">
        <v>1</v>
      </c>
      <c r="S277" s="188">
        <f>18297950+18297950</f>
        <v>36595900</v>
      </c>
      <c r="T277" s="26" t="s">
        <v>967</v>
      </c>
      <c r="U277" s="105" t="s">
        <v>68</v>
      </c>
      <c r="V277" s="172" t="s">
        <v>411</v>
      </c>
      <c r="W277" s="173">
        <v>5.5</v>
      </c>
      <c r="X277" s="106" t="s">
        <v>968</v>
      </c>
      <c r="Y277" s="107">
        <v>43116</v>
      </c>
      <c r="Z277" s="188">
        <v>36595900</v>
      </c>
      <c r="AA277" s="126" t="s">
        <v>969</v>
      </c>
      <c r="AB277" s="126">
        <v>515</v>
      </c>
      <c r="AC277" s="107">
        <v>43117</v>
      </c>
      <c r="AD277" s="177">
        <v>36595900</v>
      </c>
      <c r="AE277" s="189">
        <f t="shared" si="41"/>
        <v>0</v>
      </c>
      <c r="AF277" s="124">
        <v>251</v>
      </c>
      <c r="AG277" s="107">
        <v>43119</v>
      </c>
      <c r="AH277" s="177">
        <v>36595900</v>
      </c>
      <c r="AI277" s="126" t="s">
        <v>970</v>
      </c>
      <c r="AJ277" s="169">
        <v>204</v>
      </c>
      <c r="AK277" s="169"/>
      <c r="AL277" s="190">
        <v>7984560</v>
      </c>
      <c r="AM277" s="191">
        <f t="shared" si="42"/>
        <v>28611340</v>
      </c>
      <c r="AN277" s="126"/>
      <c r="AO277" s="126"/>
      <c r="AP277" s="126"/>
      <c r="AQ277" s="126"/>
      <c r="AR277" s="126"/>
      <c r="AS277" s="126"/>
      <c r="AT277" s="126"/>
    </row>
    <row r="278" spans="1:46" ht="102" x14ac:dyDescent="0.25">
      <c r="A278" s="105">
        <f t="shared" si="43"/>
        <v>6</v>
      </c>
      <c r="B278" s="105" t="s">
        <v>971</v>
      </c>
      <c r="C278" s="105" t="s">
        <v>946</v>
      </c>
      <c r="D278" s="105" t="s">
        <v>947</v>
      </c>
      <c r="E278" s="105" t="s">
        <v>948</v>
      </c>
      <c r="F278" s="105" t="s">
        <v>53</v>
      </c>
      <c r="G278" s="105" t="s">
        <v>54</v>
      </c>
      <c r="H278" s="171" t="s">
        <v>55</v>
      </c>
      <c r="I278" s="105" t="s">
        <v>56</v>
      </c>
      <c r="J278" s="105" t="s">
        <v>57</v>
      </c>
      <c r="K278" s="18">
        <v>80111600</v>
      </c>
      <c r="L278" s="18" t="s">
        <v>949</v>
      </c>
      <c r="M278" s="18" t="s">
        <v>59</v>
      </c>
      <c r="N278" s="18" t="s">
        <v>60</v>
      </c>
      <c r="O278" s="126" t="s">
        <v>898</v>
      </c>
      <c r="P278" s="18" t="s">
        <v>972</v>
      </c>
      <c r="Q278" s="188">
        <v>6695000</v>
      </c>
      <c r="R278" s="184">
        <v>1</v>
      </c>
      <c r="S278" s="188">
        <v>77215666.666666657</v>
      </c>
      <c r="T278" s="26" t="s">
        <v>900</v>
      </c>
      <c r="U278" s="105" t="s">
        <v>68</v>
      </c>
      <c r="V278" s="172" t="s">
        <v>411</v>
      </c>
      <c r="W278" s="173">
        <v>11.5</v>
      </c>
      <c r="X278" s="106" t="s">
        <v>973</v>
      </c>
      <c r="Y278" s="107">
        <v>43102</v>
      </c>
      <c r="Z278" s="188">
        <v>77215666.666666657</v>
      </c>
      <c r="AA278" s="126"/>
      <c r="AB278" s="126">
        <v>96</v>
      </c>
      <c r="AC278" s="107">
        <v>43103</v>
      </c>
      <c r="AD278" s="177">
        <v>76992500</v>
      </c>
      <c r="AE278" s="189">
        <f t="shared" si="41"/>
        <v>0</v>
      </c>
      <c r="AF278" s="124">
        <v>54</v>
      </c>
      <c r="AG278" s="107">
        <v>43116</v>
      </c>
      <c r="AH278" s="177">
        <v>76992500</v>
      </c>
      <c r="AI278" s="126" t="s">
        <v>974</v>
      </c>
      <c r="AJ278" s="169">
        <v>41</v>
      </c>
      <c r="AK278" s="169"/>
      <c r="AL278" s="190">
        <v>16514333</v>
      </c>
      <c r="AM278" s="191">
        <f t="shared" si="42"/>
        <v>60478167</v>
      </c>
      <c r="AN278" s="126"/>
      <c r="AO278" s="126"/>
      <c r="AP278" s="126"/>
      <c r="AQ278" s="126"/>
      <c r="AR278" s="126"/>
      <c r="AS278" s="126"/>
      <c r="AT278" s="126"/>
    </row>
    <row r="279" spans="1:46" ht="102" x14ac:dyDescent="0.25">
      <c r="A279" s="105">
        <f t="shared" si="43"/>
        <v>7</v>
      </c>
      <c r="B279" s="105" t="s">
        <v>975</v>
      </c>
      <c r="C279" s="105" t="s">
        <v>946</v>
      </c>
      <c r="D279" s="105" t="s">
        <v>947</v>
      </c>
      <c r="E279" s="105" t="s">
        <v>948</v>
      </c>
      <c r="F279" s="105" t="s">
        <v>53</v>
      </c>
      <c r="G279" s="105" t="s">
        <v>54</v>
      </c>
      <c r="H279" s="171" t="s">
        <v>55</v>
      </c>
      <c r="I279" s="105" t="s">
        <v>56</v>
      </c>
      <c r="J279" s="105" t="s">
        <v>57</v>
      </c>
      <c r="K279" s="18">
        <v>80111600</v>
      </c>
      <c r="L279" s="18" t="s">
        <v>949</v>
      </c>
      <c r="M279" s="18" t="s">
        <v>59</v>
      </c>
      <c r="N279" s="18" t="s">
        <v>60</v>
      </c>
      <c r="O279" s="126" t="s">
        <v>898</v>
      </c>
      <c r="P279" s="18" t="s">
        <v>976</v>
      </c>
      <c r="Q279" s="188">
        <v>3553500</v>
      </c>
      <c r="R279" s="184">
        <v>1</v>
      </c>
      <c r="S279" s="188">
        <v>39799200</v>
      </c>
      <c r="T279" s="26" t="s">
        <v>900</v>
      </c>
      <c r="U279" s="105" t="s">
        <v>68</v>
      </c>
      <c r="V279" s="172" t="s">
        <v>411</v>
      </c>
      <c r="W279" s="173">
        <v>11.17</v>
      </c>
      <c r="X279" s="106" t="s">
        <v>977</v>
      </c>
      <c r="Y279" s="107">
        <v>43102</v>
      </c>
      <c r="Z279" s="188">
        <v>39799200</v>
      </c>
      <c r="AA279" s="126"/>
      <c r="AB279" s="126">
        <v>97</v>
      </c>
      <c r="AC279" s="107">
        <v>43103</v>
      </c>
      <c r="AD279" s="177">
        <v>39799200</v>
      </c>
      <c r="AE279" s="189">
        <f t="shared" si="41"/>
        <v>0</v>
      </c>
      <c r="AF279" s="124">
        <v>489</v>
      </c>
      <c r="AG279" s="107">
        <v>43126</v>
      </c>
      <c r="AH279" s="177">
        <v>39799200</v>
      </c>
      <c r="AI279" s="126" t="s">
        <v>978</v>
      </c>
      <c r="AJ279" s="169">
        <v>418</v>
      </c>
      <c r="AK279" s="169"/>
      <c r="AL279" s="190">
        <v>7225450</v>
      </c>
      <c r="AM279" s="191">
        <f t="shared" si="42"/>
        <v>32573750</v>
      </c>
      <c r="AN279" s="126"/>
      <c r="AO279" s="126"/>
      <c r="AP279" s="126"/>
      <c r="AQ279" s="126"/>
      <c r="AR279" s="126"/>
      <c r="AS279" s="126"/>
      <c r="AT279" s="126"/>
    </row>
    <row r="280" spans="1:46" ht="102" x14ac:dyDescent="0.25">
      <c r="A280" s="105">
        <f t="shared" si="43"/>
        <v>8</v>
      </c>
      <c r="B280" s="105" t="s">
        <v>979</v>
      </c>
      <c r="C280" s="105" t="s">
        <v>946</v>
      </c>
      <c r="D280" s="105" t="s">
        <v>947</v>
      </c>
      <c r="E280" s="105" t="s">
        <v>948</v>
      </c>
      <c r="F280" s="105" t="s">
        <v>53</v>
      </c>
      <c r="G280" s="105" t="s">
        <v>54</v>
      </c>
      <c r="H280" s="171" t="s">
        <v>55</v>
      </c>
      <c r="I280" s="105" t="s">
        <v>56</v>
      </c>
      <c r="J280" s="105" t="s">
        <v>57</v>
      </c>
      <c r="K280" s="18">
        <v>80111600</v>
      </c>
      <c r="L280" s="18" t="s">
        <v>949</v>
      </c>
      <c r="M280" s="18" t="s">
        <v>59</v>
      </c>
      <c r="N280" s="18" t="s">
        <v>60</v>
      </c>
      <c r="O280" s="126" t="s">
        <v>898</v>
      </c>
      <c r="P280" s="18" t="s">
        <v>980</v>
      </c>
      <c r="Q280" s="188">
        <v>3399000</v>
      </c>
      <c r="R280" s="184">
        <v>1</v>
      </c>
      <c r="S280" s="188">
        <v>39428400</v>
      </c>
      <c r="T280" s="26" t="s">
        <v>900</v>
      </c>
      <c r="U280" s="105" t="s">
        <v>68</v>
      </c>
      <c r="V280" s="172" t="s">
        <v>411</v>
      </c>
      <c r="W280" s="173">
        <v>11.6</v>
      </c>
      <c r="X280" s="106" t="s">
        <v>981</v>
      </c>
      <c r="Y280" s="107">
        <v>43102</v>
      </c>
      <c r="Z280" s="188">
        <v>39428400</v>
      </c>
      <c r="AA280" s="126"/>
      <c r="AB280" s="126">
        <v>98</v>
      </c>
      <c r="AC280" s="107">
        <v>43103</v>
      </c>
      <c r="AD280" s="177">
        <v>39088500</v>
      </c>
      <c r="AE280" s="189">
        <f t="shared" si="41"/>
        <v>0</v>
      </c>
      <c r="AF280" s="124">
        <v>172</v>
      </c>
      <c r="AG280" s="107">
        <v>43118</v>
      </c>
      <c r="AH280" s="177">
        <v>39088500</v>
      </c>
      <c r="AI280" s="126" t="s">
        <v>982</v>
      </c>
      <c r="AJ280" s="169">
        <v>139</v>
      </c>
      <c r="AK280" s="169"/>
      <c r="AL280" s="190">
        <v>8270900</v>
      </c>
      <c r="AM280" s="191">
        <f t="shared" si="42"/>
        <v>30817600</v>
      </c>
      <c r="AN280" s="126"/>
      <c r="AO280" s="126"/>
      <c r="AP280" s="126"/>
      <c r="AQ280" s="126"/>
      <c r="AR280" s="126"/>
      <c r="AS280" s="126"/>
      <c r="AT280" s="126"/>
    </row>
    <row r="281" spans="1:46" ht="102" x14ac:dyDescent="0.25">
      <c r="A281" s="105">
        <f t="shared" si="43"/>
        <v>9</v>
      </c>
      <c r="B281" s="105" t="s">
        <v>983</v>
      </c>
      <c r="C281" s="105" t="s">
        <v>946</v>
      </c>
      <c r="D281" s="105" t="s">
        <v>947</v>
      </c>
      <c r="E281" s="105" t="s">
        <v>948</v>
      </c>
      <c r="F281" s="105" t="s">
        <v>53</v>
      </c>
      <c r="G281" s="105" t="s">
        <v>54</v>
      </c>
      <c r="H281" s="171" t="s">
        <v>55</v>
      </c>
      <c r="I281" s="105" t="s">
        <v>56</v>
      </c>
      <c r="J281" s="105" t="s">
        <v>57</v>
      </c>
      <c r="K281" s="18">
        <v>80111600</v>
      </c>
      <c r="L281" s="18" t="s">
        <v>949</v>
      </c>
      <c r="M281" s="18" t="s">
        <v>59</v>
      </c>
      <c r="N281" s="18" t="s">
        <v>60</v>
      </c>
      <c r="O281" s="126" t="s">
        <v>898</v>
      </c>
      <c r="P281" s="18" t="s">
        <v>984</v>
      </c>
      <c r="Q281" s="188">
        <v>3326900</v>
      </c>
      <c r="R281" s="184">
        <v>1</v>
      </c>
      <c r="S281" s="188">
        <f>18297950+15858223</f>
        <v>34156173</v>
      </c>
      <c r="T281" s="26" t="s">
        <v>967</v>
      </c>
      <c r="U281" s="105" t="s">
        <v>68</v>
      </c>
      <c r="V281" s="172" t="s">
        <v>411</v>
      </c>
      <c r="W281" s="173">
        <v>5.5</v>
      </c>
      <c r="X281" s="106" t="s">
        <v>985</v>
      </c>
      <c r="Y281" s="107">
        <v>43116</v>
      </c>
      <c r="Z281" s="188">
        <v>34156173</v>
      </c>
      <c r="AA281" s="126" t="s">
        <v>986</v>
      </c>
      <c r="AB281" s="126">
        <v>99</v>
      </c>
      <c r="AC281" s="107">
        <v>43117</v>
      </c>
      <c r="AD281" s="177">
        <v>34156173</v>
      </c>
      <c r="AE281" s="189">
        <f t="shared" si="41"/>
        <v>0</v>
      </c>
      <c r="AF281" s="124">
        <v>221</v>
      </c>
      <c r="AG281" s="107">
        <v>43117</v>
      </c>
      <c r="AH281" s="177">
        <v>34156173</v>
      </c>
      <c r="AI281" s="126" t="s">
        <v>987</v>
      </c>
      <c r="AJ281" s="169">
        <v>195</v>
      </c>
      <c r="AK281" s="169"/>
      <c r="AL281" s="190">
        <v>7984560</v>
      </c>
      <c r="AM281" s="191">
        <f t="shared" si="42"/>
        <v>26171613</v>
      </c>
      <c r="AN281" s="126"/>
      <c r="AO281" s="126"/>
      <c r="AP281" s="126"/>
      <c r="AQ281" s="126"/>
      <c r="AR281" s="126"/>
      <c r="AS281" s="126"/>
      <c r="AT281" s="126"/>
    </row>
    <row r="282" spans="1:46" ht="102" x14ac:dyDescent="0.25">
      <c r="A282" s="105">
        <f t="shared" si="43"/>
        <v>10</v>
      </c>
      <c r="B282" s="105" t="s">
        <v>988</v>
      </c>
      <c r="C282" s="105" t="s">
        <v>946</v>
      </c>
      <c r="D282" s="105" t="s">
        <v>947</v>
      </c>
      <c r="E282" s="105" t="s">
        <v>948</v>
      </c>
      <c r="F282" s="105" t="s">
        <v>53</v>
      </c>
      <c r="G282" s="105" t="s">
        <v>54</v>
      </c>
      <c r="H282" s="171" t="s">
        <v>55</v>
      </c>
      <c r="I282" s="105" t="s">
        <v>56</v>
      </c>
      <c r="J282" s="105" t="s">
        <v>57</v>
      </c>
      <c r="K282" s="18">
        <v>80111600</v>
      </c>
      <c r="L282" s="18" t="s">
        <v>949</v>
      </c>
      <c r="M282" s="18" t="s">
        <v>59</v>
      </c>
      <c r="N282" s="18" t="s">
        <v>60</v>
      </c>
      <c r="O282" s="126" t="s">
        <v>898</v>
      </c>
      <c r="P282" s="18" t="s">
        <v>989</v>
      </c>
      <c r="Q282" s="188">
        <v>7210000</v>
      </c>
      <c r="R282" s="184">
        <v>1</v>
      </c>
      <c r="S282" s="188">
        <v>80511666.666666672</v>
      </c>
      <c r="T282" s="26" t="s">
        <v>900</v>
      </c>
      <c r="U282" s="105" t="s">
        <v>68</v>
      </c>
      <c r="V282" s="172" t="s">
        <v>411</v>
      </c>
      <c r="W282" s="173">
        <v>11.17</v>
      </c>
      <c r="X282" s="106" t="s">
        <v>990</v>
      </c>
      <c r="Y282" s="107">
        <v>43102</v>
      </c>
      <c r="Z282" s="188">
        <v>80511666.666666672</v>
      </c>
      <c r="AA282" s="126"/>
      <c r="AB282" s="126">
        <v>100</v>
      </c>
      <c r="AC282" s="107">
        <v>43103</v>
      </c>
      <c r="AD282" s="177">
        <v>80511667</v>
      </c>
      <c r="AE282" s="189">
        <f t="shared" si="41"/>
        <v>0</v>
      </c>
      <c r="AF282" s="124">
        <v>495</v>
      </c>
      <c r="AG282" s="107">
        <v>43126</v>
      </c>
      <c r="AH282" s="177">
        <v>80511667</v>
      </c>
      <c r="AI282" s="126" t="s">
        <v>991</v>
      </c>
      <c r="AJ282" s="169">
        <v>424</v>
      </c>
      <c r="AK282" s="169"/>
      <c r="AL282" s="190">
        <v>14900667</v>
      </c>
      <c r="AM282" s="191">
        <f t="shared" si="42"/>
        <v>65611000</v>
      </c>
      <c r="AN282" s="126"/>
      <c r="AO282" s="126"/>
      <c r="AP282" s="126"/>
      <c r="AQ282" s="126"/>
      <c r="AR282" s="126"/>
      <c r="AS282" s="126"/>
      <c r="AT282" s="126"/>
    </row>
    <row r="283" spans="1:46" ht="102" x14ac:dyDescent="0.25">
      <c r="A283" s="105">
        <f t="shared" si="43"/>
        <v>11</v>
      </c>
      <c r="B283" s="105" t="s">
        <v>992</v>
      </c>
      <c r="C283" s="105" t="s">
        <v>946</v>
      </c>
      <c r="D283" s="105" t="s">
        <v>947</v>
      </c>
      <c r="E283" s="105" t="s">
        <v>948</v>
      </c>
      <c r="F283" s="105" t="s">
        <v>53</v>
      </c>
      <c r="G283" s="105" t="s">
        <v>54</v>
      </c>
      <c r="H283" s="171" t="s">
        <v>55</v>
      </c>
      <c r="I283" s="105" t="s">
        <v>56</v>
      </c>
      <c r="J283" s="105" t="s">
        <v>57</v>
      </c>
      <c r="K283" s="18">
        <v>80111600</v>
      </c>
      <c r="L283" s="18" t="s">
        <v>949</v>
      </c>
      <c r="M283" s="18" t="s">
        <v>59</v>
      </c>
      <c r="N283" s="18" t="s">
        <v>60</v>
      </c>
      <c r="O283" s="126" t="s">
        <v>898</v>
      </c>
      <c r="P283" s="18" t="s">
        <v>984</v>
      </c>
      <c r="Q283" s="188">
        <v>12133.33</v>
      </c>
      <c r="R283" s="184">
        <v>1</v>
      </c>
      <c r="S283" s="188">
        <v>12133.33</v>
      </c>
      <c r="T283" s="26" t="s">
        <v>967</v>
      </c>
      <c r="U283" s="105" t="s">
        <v>68</v>
      </c>
      <c r="V283" s="172" t="s">
        <v>304</v>
      </c>
      <c r="W283" s="173">
        <v>1</v>
      </c>
      <c r="X283" s="106" t="s">
        <v>993</v>
      </c>
      <c r="Y283" s="107">
        <v>43102</v>
      </c>
      <c r="Z283" s="188">
        <v>12133.33</v>
      </c>
      <c r="AA283" s="126"/>
      <c r="AB283" s="126"/>
      <c r="AC283" s="126"/>
      <c r="AD283" s="126"/>
      <c r="AE283" s="189">
        <f t="shared" si="41"/>
        <v>0</v>
      </c>
      <c r="AF283" s="124"/>
      <c r="AG283" s="126"/>
      <c r="AH283" s="177"/>
      <c r="AI283" s="126"/>
      <c r="AJ283" s="126"/>
      <c r="AK283" s="126"/>
      <c r="AL283" s="126"/>
      <c r="AM283" s="191">
        <f t="shared" si="42"/>
        <v>0</v>
      </c>
      <c r="AN283" s="126"/>
      <c r="AO283" s="126"/>
      <c r="AP283" s="126"/>
      <c r="AQ283" s="126"/>
      <c r="AR283" s="126"/>
      <c r="AS283" s="126"/>
      <c r="AT283" s="126"/>
    </row>
    <row r="284" spans="1:46" ht="102" x14ac:dyDescent="0.25">
      <c r="A284" s="105">
        <f t="shared" si="43"/>
        <v>12</v>
      </c>
      <c r="B284" s="105" t="s">
        <v>994</v>
      </c>
      <c r="C284" s="105" t="s">
        <v>946</v>
      </c>
      <c r="D284" s="105" t="s">
        <v>947</v>
      </c>
      <c r="E284" s="105" t="s">
        <v>948</v>
      </c>
      <c r="F284" s="105" t="s">
        <v>53</v>
      </c>
      <c r="G284" s="105" t="s">
        <v>54</v>
      </c>
      <c r="H284" s="171" t="s">
        <v>55</v>
      </c>
      <c r="I284" s="105" t="s">
        <v>56</v>
      </c>
      <c r="J284" s="105" t="s">
        <v>57</v>
      </c>
      <c r="K284" s="18">
        <v>80111600</v>
      </c>
      <c r="L284" s="18" t="s">
        <v>949</v>
      </c>
      <c r="M284" s="18" t="s">
        <v>59</v>
      </c>
      <c r="N284" s="18" t="s">
        <v>60</v>
      </c>
      <c r="O284" s="126" t="s">
        <v>898</v>
      </c>
      <c r="P284" s="18" t="s">
        <v>995</v>
      </c>
      <c r="Q284" s="188">
        <v>4120000</v>
      </c>
      <c r="R284" s="184">
        <v>1</v>
      </c>
      <c r="S284" s="188">
        <f>34196000-18297950-15858223</f>
        <v>39827</v>
      </c>
      <c r="T284" s="26" t="s">
        <v>900</v>
      </c>
      <c r="U284" s="105" t="s">
        <v>68</v>
      </c>
      <c r="V284" s="172" t="s">
        <v>308</v>
      </c>
      <c r="W284" s="173">
        <v>8.3000000000000007</v>
      </c>
      <c r="X284" s="106"/>
      <c r="Y284" s="107"/>
      <c r="Z284" s="188"/>
      <c r="AA284" s="126"/>
      <c r="AB284" s="126"/>
      <c r="AC284" s="126"/>
      <c r="AD284" s="126"/>
      <c r="AE284" s="189">
        <f t="shared" si="41"/>
        <v>39827</v>
      </c>
      <c r="AF284" s="124"/>
      <c r="AG284" s="126"/>
      <c r="AH284" s="177"/>
      <c r="AI284" s="126"/>
      <c r="AJ284" s="126"/>
      <c r="AK284" s="126"/>
      <c r="AL284" s="126"/>
      <c r="AM284" s="191">
        <f t="shared" si="42"/>
        <v>0</v>
      </c>
      <c r="AN284" s="126"/>
      <c r="AO284" s="126"/>
      <c r="AP284" s="126"/>
      <c r="AQ284" s="126"/>
      <c r="AR284" s="126"/>
      <c r="AS284" s="126"/>
      <c r="AT284" s="126"/>
    </row>
    <row r="285" spans="1:46" ht="102" x14ac:dyDescent="0.25">
      <c r="A285" s="105">
        <f t="shared" si="43"/>
        <v>13</v>
      </c>
      <c r="B285" s="105" t="s">
        <v>996</v>
      </c>
      <c r="C285" s="105" t="s">
        <v>946</v>
      </c>
      <c r="D285" s="105" t="s">
        <v>947</v>
      </c>
      <c r="E285" s="105" t="s">
        <v>948</v>
      </c>
      <c r="F285" s="105" t="s">
        <v>997</v>
      </c>
      <c r="G285" s="105" t="s">
        <v>998</v>
      </c>
      <c r="H285" s="105" t="s">
        <v>999</v>
      </c>
      <c r="I285" s="105" t="s">
        <v>56</v>
      </c>
      <c r="J285" s="105" t="s">
        <v>57</v>
      </c>
      <c r="K285" s="105" t="s">
        <v>1000</v>
      </c>
      <c r="L285" s="18" t="s">
        <v>949</v>
      </c>
      <c r="M285" s="18" t="s">
        <v>59</v>
      </c>
      <c r="N285" s="18" t="s">
        <v>60</v>
      </c>
      <c r="O285" s="126" t="s">
        <v>1001</v>
      </c>
      <c r="P285" s="18" t="s">
        <v>1002</v>
      </c>
      <c r="Q285" s="188">
        <v>45000000</v>
      </c>
      <c r="R285" s="18">
        <v>1</v>
      </c>
      <c r="S285" s="188">
        <f>540000000-177905000</f>
        <v>362095000</v>
      </c>
      <c r="T285" s="18" t="s">
        <v>1003</v>
      </c>
      <c r="U285" s="105" t="s">
        <v>68</v>
      </c>
      <c r="V285" s="172" t="s">
        <v>304</v>
      </c>
      <c r="W285" s="184">
        <v>12</v>
      </c>
      <c r="X285" s="106"/>
      <c r="Y285" s="107"/>
      <c r="Z285" s="188"/>
      <c r="AA285" s="126" t="s">
        <v>1004</v>
      </c>
      <c r="AB285" s="126"/>
      <c r="AC285" s="126"/>
      <c r="AD285" s="126"/>
      <c r="AE285" s="189">
        <f t="shared" si="41"/>
        <v>362095000</v>
      </c>
      <c r="AF285" s="124"/>
      <c r="AG285" s="126"/>
      <c r="AH285" s="177"/>
      <c r="AI285" s="126"/>
      <c r="AJ285" s="126"/>
      <c r="AK285" s="126"/>
      <c r="AL285" s="190"/>
      <c r="AM285" s="191">
        <f t="shared" si="42"/>
        <v>0</v>
      </c>
      <c r="AN285" s="126"/>
      <c r="AO285" s="126"/>
      <c r="AP285" s="126"/>
      <c r="AQ285" s="126"/>
      <c r="AR285" s="126"/>
      <c r="AS285" s="126"/>
      <c r="AT285" s="126"/>
    </row>
    <row r="286" spans="1:46" ht="102" x14ac:dyDescent="0.25">
      <c r="A286" s="105">
        <f t="shared" si="43"/>
        <v>14</v>
      </c>
      <c r="B286" s="105" t="s">
        <v>1005</v>
      </c>
      <c r="C286" s="105" t="s">
        <v>946</v>
      </c>
      <c r="D286" s="105" t="s">
        <v>947</v>
      </c>
      <c r="E286" s="105" t="s">
        <v>948</v>
      </c>
      <c r="F286" s="105" t="s">
        <v>997</v>
      </c>
      <c r="G286" s="105" t="s">
        <v>998</v>
      </c>
      <c r="H286" s="105" t="s">
        <v>999</v>
      </c>
      <c r="I286" s="105" t="s">
        <v>56</v>
      </c>
      <c r="J286" s="105" t="s">
        <v>57</v>
      </c>
      <c r="K286" s="105" t="s">
        <v>1000</v>
      </c>
      <c r="L286" s="18" t="s">
        <v>949</v>
      </c>
      <c r="M286" s="18" t="s">
        <v>59</v>
      </c>
      <c r="N286" s="18" t="s">
        <v>60</v>
      </c>
      <c r="O286" s="126" t="s">
        <v>1001</v>
      </c>
      <c r="P286" s="18" t="s">
        <v>1006</v>
      </c>
      <c r="Q286" s="188">
        <v>170000000</v>
      </c>
      <c r="R286" s="18">
        <v>1</v>
      </c>
      <c r="S286" s="188">
        <f>1640000000-982741291-107769709</f>
        <v>549489000</v>
      </c>
      <c r="T286" s="18" t="s">
        <v>1007</v>
      </c>
      <c r="U286" s="34" t="s">
        <v>199</v>
      </c>
      <c r="V286" s="172" t="s">
        <v>308</v>
      </c>
      <c r="W286" s="184">
        <v>12</v>
      </c>
      <c r="X286" s="106"/>
      <c r="Y286" s="107"/>
      <c r="Z286" s="188"/>
      <c r="AA286" s="126"/>
      <c r="AB286" s="126"/>
      <c r="AC286" s="126"/>
      <c r="AD286" s="126"/>
      <c r="AE286" s="189">
        <f t="shared" si="41"/>
        <v>549489000</v>
      </c>
      <c r="AF286" s="124"/>
      <c r="AG286" s="126"/>
      <c r="AH286" s="177"/>
      <c r="AI286" s="126"/>
      <c r="AJ286" s="126"/>
      <c r="AK286" s="126"/>
      <c r="AL286" s="190"/>
      <c r="AM286" s="191">
        <f t="shared" si="42"/>
        <v>0</v>
      </c>
      <c r="AN286" s="126"/>
      <c r="AO286" s="126"/>
      <c r="AP286" s="126"/>
      <c r="AQ286" s="126"/>
      <c r="AR286" s="126"/>
      <c r="AS286" s="126"/>
      <c r="AT286" s="126"/>
    </row>
    <row r="287" spans="1:46" ht="102" x14ac:dyDescent="0.25">
      <c r="A287" s="105">
        <f t="shared" si="43"/>
        <v>15</v>
      </c>
      <c r="B287" s="105" t="s">
        <v>1008</v>
      </c>
      <c r="C287" s="105" t="s">
        <v>946</v>
      </c>
      <c r="D287" s="105" t="s">
        <v>947</v>
      </c>
      <c r="E287" s="105" t="s">
        <v>948</v>
      </c>
      <c r="F287" s="105" t="s">
        <v>997</v>
      </c>
      <c r="G287" s="105" t="s">
        <v>998</v>
      </c>
      <c r="H287" s="105" t="s">
        <v>999</v>
      </c>
      <c r="I287" s="105" t="s">
        <v>56</v>
      </c>
      <c r="J287" s="105" t="s">
        <v>57</v>
      </c>
      <c r="K287" s="105" t="s">
        <v>1000</v>
      </c>
      <c r="L287" s="18" t="s">
        <v>949</v>
      </c>
      <c r="M287" s="18" t="s">
        <v>59</v>
      </c>
      <c r="N287" s="18" t="s">
        <v>60</v>
      </c>
      <c r="O287" s="126" t="s">
        <v>1001</v>
      </c>
      <c r="P287" s="18" t="s">
        <v>1009</v>
      </c>
      <c r="Q287" s="188">
        <v>5712000</v>
      </c>
      <c r="R287" s="18">
        <v>1</v>
      </c>
      <c r="S287" s="188">
        <v>34272000</v>
      </c>
      <c r="T287" s="18" t="s">
        <v>1007</v>
      </c>
      <c r="U287" s="105" t="s">
        <v>68</v>
      </c>
      <c r="V287" s="172" t="s">
        <v>943</v>
      </c>
      <c r="W287" s="184">
        <v>6</v>
      </c>
      <c r="X287" s="106"/>
      <c r="Y287" s="107"/>
      <c r="Z287" s="188"/>
      <c r="AA287" s="126"/>
      <c r="AB287" s="126"/>
      <c r="AC287" s="126"/>
      <c r="AD287" s="126"/>
      <c r="AE287" s="189">
        <f t="shared" si="41"/>
        <v>34272000</v>
      </c>
      <c r="AF287" s="124"/>
      <c r="AG287" s="126"/>
      <c r="AH287" s="177"/>
      <c r="AI287" s="126"/>
      <c r="AJ287" s="126"/>
      <c r="AK287" s="126"/>
      <c r="AL287" s="126"/>
      <c r="AM287" s="191">
        <f t="shared" si="42"/>
        <v>0</v>
      </c>
      <c r="AN287" s="126"/>
      <c r="AO287" s="126"/>
      <c r="AP287" s="126"/>
      <c r="AQ287" s="126"/>
      <c r="AR287" s="126"/>
      <c r="AS287" s="126"/>
      <c r="AT287" s="126"/>
    </row>
    <row r="288" spans="1:46" ht="102" x14ac:dyDescent="0.25">
      <c r="A288" s="105">
        <f t="shared" si="43"/>
        <v>16</v>
      </c>
      <c r="B288" s="105" t="s">
        <v>1010</v>
      </c>
      <c r="C288" s="105" t="s">
        <v>946</v>
      </c>
      <c r="D288" s="105" t="s">
        <v>947</v>
      </c>
      <c r="E288" s="105" t="s">
        <v>948</v>
      </c>
      <c r="F288" s="105" t="s">
        <v>186</v>
      </c>
      <c r="G288" s="105" t="s">
        <v>230</v>
      </c>
      <c r="H288" s="171" t="s">
        <v>235</v>
      </c>
      <c r="I288" s="105" t="s">
        <v>56</v>
      </c>
      <c r="J288" s="105" t="s">
        <v>57</v>
      </c>
      <c r="K288" s="105">
        <v>72154000</v>
      </c>
      <c r="L288" s="18" t="s">
        <v>949</v>
      </c>
      <c r="M288" s="18" t="s">
        <v>59</v>
      </c>
      <c r="N288" s="18" t="s">
        <v>60</v>
      </c>
      <c r="O288" s="126" t="s">
        <v>898</v>
      </c>
      <c r="P288" s="18" t="s">
        <v>1011</v>
      </c>
      <c r="Q288" s="188">
        <v>233459</v>
      </c>
      <c r="R288" s="18">
        <v>1</v>
      </c>
      <c r="S288" s="188">
        <v>700377</v>
      </c>
      <c r="T288" s="18" t="s">
        <v>1007</v>
      </c>
      <c r="U288" s="18" t="s">
        <v>190</v>
      </c>
      <c r="V288" s="172" t="s">
        <v>1012</v>
      </c>
      <c r="W288" s="92">
        <v>3</v>
      </c>
      <c r="X288" s="106"/>
      <c r="Y288" s="107"/>
      <c r="Z288" s="188"/>
      <c r="AA288" s="126"/>
      <c r="AB288" s="126"/>
      <c r="AC288" s="126"/>
      <c r="AD288" s="126"/>
      <c r="AE288" s="189">
        <f t="shared" si="41"/>
        <v>700377</v>
      </c>
      <c r="AF288" s="124"/>
      <c r="AG288" s="126"/>
      <c r="AH288" s="177"/>
      <c r="AI288" s="126"/>
      <c r="AJ288" s="126"/>
      <c r="AK288" s="126"/>
      <c r="AL288" s="126"/>
      <c r="AM288" s="191">
        <f t="shared" si="42"/>
        <v>0</v>
      </c>
      <c r="AN288" s="126"/>
      <c r="AO288" s="126"/>
      <c r="AP288" s="126"/>
      <c r="AQ288" s="126"/>
      <c r="AR288" s="126"/>
      <c r="AS288" s="126"/>
      <c r="AT288" s="126"/>
    </row>
    <row r="289" spans="1:46" ht="102" x14ac:dyDescent="0.25">
      <c r="A289" s="105">
        <f t="shared" si="43"/>
        <v>17</v>
      </c>
      <c r="B289" s="105" t="s">
        <v>1013</v>
      </c>
      <c r="C289" s="105" t="s">
        <v>946</v>
      </c>
      <c r="D289" s="105" t="s">
        <v>947</v>
      </c>
      <c r="E289" s="105" t="s">
        <v>948</v>
      </c>
      <c r="F289" s="105" t="s">
        <v>186</v>
      </c>
      <c r="G289" s="105" t="s">
        <v>230</v>
      </c>
      <c r="H289" s="171" t="s">
        <v>235</v>
      </c>
      <c r="I289" s="105" t="s">
        <v>56</v>
      </c>
      <c r="J289" s="105" t="s">
        <v>57</v>
      </c>
      <c r="K289" s="105">
        <v>81112200</v>
      </c>
      <c r="L289" s="18" t="s">
        <v>949</v>
      </c>
      <c r="M289" s="18" t="s">
        <v>59</v>
      </c>
      <c r="N289" s="18" t="s">
        <v>60</v>
      </c>
      <c r="O289" s="126" t="s">
        <v>898</v>
      </c>
      <c r="P289" s="18" t="s">
        <v>1014</v>
      </c>
      <c r="Q289" s="188">
        <v>565000000</v>
      </c>
      <c r="R289" s="18">
        <v>1</v>
      </c>
      <c r="S289" s="188">
        <f>565000000-565000000</f>
        <v>0</v>
      </c>
      <c r="T289" s="18" t="s">
        <v>1007</v>
      </c>
      <c r="U289" s="105" t="s">
        <v>199</v>
      </c>
      <c r="V289" s="172" t="s">
        <v>1015</v>
      </c>
      <c r="W289" s="92">
        <v>12</v>
      </c>
      <c r="X289" s="106"/>
      <c r="Y289" s="107"/>
      <c r="Z289" s="188"/>
      <c r="AA289" s="126"/>
      <c r="AB289" s="126"/>
      <c r="AC289" s="126"/>
      <c r="AD289" s="126"/>
      <c r="AE289" s="189">
        <f t="shared" si="41"/>
        <v>0</v>
      </c>
      <c r="AF289" s="124"/>
      <c r="AG289" s="126"/>
      <c r="AH289" s="177"/>
      <c r="AI289" s="126"/>
      <c r="AJ289" s="126"/>
      <c r="AK289" s="126"/>
      <c r="AL289" s="126"/>
      <c r="AM289" s="191">
        <f t="shared" si="42"/>
        <v>0</v>
      </c>
      <c r="AN289" s="126"/>
      <c r="AO289" s="126"/>
      <c r="AP289" s="126"/>
      <c r="AQ289" s="126"/>
      <c r="AR289" s="126"/>
      <c r="AS289" s="126"/>
      <c r="AT289" s="126"/>
    </row>
    <row r="290" spans="1:46" ht="102" x14ac:dyDescent="0.25">
      <c r="A290" s="105">
        <f t="shared" si="43"/>
        <v>18</v>
      </c>
      <c r="B290" s="105" t="s">
        <v>1016</v>
      </c>
      <c r="C290" s="105" t="s">
        <v>946</v>
      </c>
      <c r="D290" s="105" t="s">
        <v>947</v>
      </c>
      <c r="E290" s="105" t="s">
        <v>948</v>
      </c>
      <c r="F290" s="105" t="s">
        <v>186</v>
      </c>
      <c r="G290" s="105" t="s">
        <v>230</v>
      </c>
      <c r="H290" s="171" t="s">
        <v>235</v>
      </c>
      <c r="I290" s="105" t="s">
        <v>56</v>
      </c>
      <c r="J290" s="105" t="s">
        <v>57</v>
      </c>
      <c r="K290" s="105">
        <v>39121004</v>
      </c>
      <c r="L290" s="18" t="s">
        <v>949</v>
      </c>
      <c r="M290" s="18" t="s">
        <v>59</v>
      </c>
      <c r="N290" s="18" t="s">
        <v>60</v>
      </c>
      <c r="O290" s="126" t="s">
        <v>898</v>
      </c>
      <c r="P290" s="18" t="s">
        <v>1017</v>
      </c>
      <c r="Q290" s="188">
        <v>3429000</v>
      </c>
      <c r="R290" s="18">
        <v>1</v>
      </c>
      <c r="S290" s="188">
        <v>20574000</v>
      </c>
      <c r="T290" s="18" t="s">
        <v>1007</v>
      </c>
      <c r="U290" s="105" t="s">
        <v>205</v>
      </c>
      <c r="V290" s="172" t="s">
        <v>304</v>
      </c>
      <c r="W290" s="92">
        <v>6</v>
      </c>
      <c r="X290" s="106"/>
      <c r="Y290" s="107"/>
      <c r="Z290" s="188"/>
      <c r="AA290" s="126"/>
      <c r="AB290" s="126"/>
      <c r="AC290" s="126"/>
      <c r="AD290" s="126"/>
      <c r="AE290" s="189">
        <f t="shared" si="41"/>
        <v>20574000</v>
      </c>
      <c r="AF290" s="124"/>
      <c r="AG290" s="126"/>
      <c r="AH290" s="177"/>
      <c r="AI290" s="126"/>
      <c r="AJ290" s="126"/>
      <c r="AK290" s="126"/>
      <c r="AL290" s="126"/>
      <c r="AM290" s="191">
        <f t="shared" si="42"/>
        <v>0</v>
      </c>
      <c r="AN290" s="126"/>
      <c r="AO290" s="126"/>
      <c r="AP290" s="126"/>
      <c r="AQ290" s="126"/>
      <c r="AR290" s="126"/>
      <c r="AS290" s="126"/>
      <c r="AT290" s="126"/>
    </row>
    <row r="291" spans="1:46" ht="102" x14ac:dyDescent="0.25">
      <c r="A291" s="105">
        <f t="shared" si="43"/>
        <v>19</v>
      </c>
      <c r="B291" s="105" t="s">
        <v>1018</v>
      </c>
      <c r="C291" s="105" t="s">
        <v>946</v>
      </c>
      <c r="D291" s="105" t="s">
        <v>947</v>
      </c>
      <c r="E291" s="105" t="s">
        <v>948</v>
      </c>
      <c r="F291" s="105" t="s">
        <v>186</v>
      </c>
      <c r="G291" s="105" t="s">
        <v>230</v>
      </c>
      <c r="H291" s="171" t="s">
        <v>235</v>
      </c>
      <c r="I291" s="105" t="s">
        <v>56</v>
      </c>
      <c r="J291" s="105" t="s">
        <v>57</v>
      </c>
      <c r="K291" s="105">
        <v>81111500</v>
      </c>
      <c r="L291" s="18" t="s">
        <v>949</v>
      </c>
      <c r="M291" s="18" t="s">
        <v>59</v>
      </c>
      <c r="N291" s="18" t="s">
        <v>60</v>
      </c>
      <c r="O291" s="126" t="s">
        <v>898</v>
      </c>
      <c r="P291" s="18" t="s">
        <v>1019</v>
      </c>
      <c r="Q291" s="188">
        <v>1200000</v>
      </c>
      <c r="R291" s="18">
        <v>50</v>
      </c>
      <c r="S291" s="188">
        <f>60000000-32267736</f>
        <v>27732264</v>
      </c>
      <c r="T291" s="26" t="s">
        <v>1020</v>
      </c>
      <c r="U291" s="105" t="s">
        <v>205</v>
      </c>
      <c r="V291" s="172" t="s">
        <v>308</v>
      </c>
      <c r="W291" s="92">
        <v>6</v>
      </c>
      <c r="X291" s="106"/>
      <c r="Y291" s="107"/>
      <c r="Z291" s="188"/>
      <c r="AA291" s="126"/>
      <c r="AB291" s="126"/>
      <c r="AC291" s="126"/>
      <c r="AD291" s="126"/>
      <c r="AE291" s="189">
        <f t="shared" si="41"/>
        <v>27732264</v>
      </c>
      <c r="AF291" s="124"/>
      <c r="AG291" s="126"/>
      <c r="AH291" s="177"/>
      <c r="AI291" s="126"/>
      <c r="AJ291" s="126"/>
      <c r="AK291" s="126"/>
      <c r="AL291" s="126"/>
      <c r="AM291" s="191">
        <f t="shared" si="42"/>
        <v>0</v>
      </c>
      <c r="AN291" s="126"/>
      <c r="AO291" s="126"/>
      <c r="AP291" s="126"/>
      <c r="AQ291" s="126"/>
      <c r="AR291" s="126"/>
      <c r="AS291" s="126"/>
      <c r="AT291" s="126"/>
    </row>
    <row r="292" spans="1:46" ht="102" x14ac:dyDescent="0.25">
      <c r="A292" s="105">
        <f t="shared" si="43"/>
        <v>20</v>
      </c>
      <c r="B292" s="105" t="s">
        <v>1021</v>
      </c>
      <c r="C292" s="105" t="s">
        <v>946</v>
      </c>
      <c r="D292" s="105" t="s">
        <v>947</v>
      </c>
      <c r="E292" s="105" t="s">
        <v>948</v>
      </c>
      <c r="F292" s="105" t="s">
        <v>186</v>
      </c>
      <c r="G292" s="105" t="s">
        <v>230</v>
      </c>
      <c r="H292" s="171" t="s">
        <v>235</v>
      </c>
      <c r="I292" s="105" t="s">
        <v>56</v>
      </c>
      <c r="J292" s="105" t="s">
        <v>57</v>
      </c>
      <c r="K292" s="105">
        <v>43190000</v>
      </c>
      <c r="L292" s="18" t="s">
        <v>949</v>
      </c>
      <c r="M292" s="18" t="s">
        <v>59</v>
      </c>
      <c r="N292" s="18" t="s">
        <v>60</v>
      </c>
      <c r="O292" s="126" t="s">
        <v>898</v>
      </c>
      <c r="P292" s="18" t="s">
        <v>1022</v>
      </c>
      <c r="Q292" s="188">
        <v>4000000</v>
      </c>
      <c r="R292" s="18">
        <v>1</v>
      </c>
      <c r="S292" s="188">
        <v>24000000</v>
      </c>
      <c r="T292" s="18" t="s">
        <v>1007</v>
      </c>
      <c r="U292" s="105" t="s">
        <v>205</v>
      </c>
      <c r="V292" s="172" t="s">
        <v>304</v>
      </c>
      <c r="W292" s="92">
        <v>6</v>
      </c>
      <c r="X292" s="106"/>
      <c r="Y292" s="107"/>
      <c r="Z292" s="188"/>
      <c r="AA292" s="126"/>
      <c r="AB292" s="126"/>
      <c r="AC292" s="126"/>
      <c r="AD292" s="126"/>
      <c r="AE292" s="189">
        <f t="shared" si="41"/>
        <v>24000000</v>
      </c>
      <c r="AF292" s="124"/>
      <c r="AG292" s="126"/>
      <c r="AH292" s="177"/>
      <c r="AI292" s="126"/>
      <c r="AJ292" s="126"/>
      <c r="AK292" s="126"/>
      <c r="AL292" s="126"/>
      <c r="AM292" s="191">
        <f t="shared" si="42"/>
        <v>0</v>
      </c>
      <c r="AN292" s="126"/>
      <c r="AO292" s="126"/>
      <c r="AP292" s="126"/>
      <c r="AQ292" s="126"/>
      <c r="AR292" s="126"/>
      <c r="AS292" s="126"/>
      <c r="AT292" s="126"/>
    </row>
    <row r="293" spans="1:46" ht="178.5" x14ac:dyDescent="0.25">
      <c r="A293" s="105">
        <f t="shared" si="43"/>
        <v>21</v>
      </c>
      <c r="B293" s="105" t="s">
        <v>1023</v>
      </c>
      <c r="C293" s="105" t="s">
        <v>946</v>
      </c>
      <c r="D293" s="105" t="s">
        <v>947</v>
      </c>
      <c r="E293" s="105" t="s">
        <v>948</v>
      </c>
      <c r="F293" s="105" t="s">
        <v>186</v>
      </c>
      <c r="G293" s="105" t="s">
        <v>230</v>
      </c>
      <c r="H293" s="171" t="s">
        <v>235</v>
      </c>
      <c r="I293" s="105" t="s">
        <v>56</v>
      </c>
      <c r="J293" s="105" t="s">
        <v>57</v>
      </c>
      <c r="K293" s="105">
        <v>81111500</v>
      </c>
      <c r="L293" s="18" t="s">
        <v>949</v>
      </c>
      <c r="M293" s="18" t="s">
        <v>59</v>
      </c>
      <c r="N293" s="18" t="s">
        <v>60</v>
      </c>
      <c r="O293" s="126" t="s">
        <v>898</v>
      </c>
      <c r="P293" s="18" t="s">
        <v>1024</v>
      </c>
      <c r="Q293" s="188">
        <v>126735256</v>
      </c>
      <c r="R293" s="18">
        <v>10</v>
      </c>
      <c r="S293" s="192">
        <f>346913623-62302353+982741291-342263852</f>
        <v>925088709</v>
      </c>
      <c r="T293" s="18" t="s">
        <v>1007</v>
      </c>
      <c r="U293" s="25" t="s">
        <v>1025</v>
      </c>
      <c r="V293" s="172" t="s">
        <v>308</v>
      </c>
      <c r="W293" s="92">
        <v>12</v>
      </c>
      <c r="X293" s="106" t="s">
        <v>1026</v>
      </c>
      <c r="Y293" s="107">
        <v>43165</v>
      </c>
      <c r="Z293" s="188">
        <v>480518525</v>
      </c>
      <c r="AA293" s="126" t="s">
        <v>1027</v>
      </c>
      <c r="AB293" s="126">
        <v>700</v>
      </c>
      <c r="AC293" s="107">
        <v>43166</v>
      </c>
      <c r="AD293" s="177">
        <v>480518525</v>
      </c>
      <c r="AE293" s="189">
        <f t="shared" si="41"/>
        <v>444570184</v>
      </c>
      <c r="AF293" s="124">
        <v>1658</v>
      </c>
      <c r="AG293" s="107">
        <v>43126</v>
      </c>
      <c r="AH293" s="177">
        <v>480518525</v>
      </c>
      <c r="AI293" s="126" t="s">
        <v>1028</v>
      </c>
      <c r="AJ293" s="126">
        <v>430</v>
      </c>
      <c r="AK293" s="126"/>
      <c r="AL293" s="126"/>
      <c r="AM293" s="191">
        <f t="shared" si="42"/>
        <v>480518525</v>
      </c>
      <c r="AN293" s="126"/>
      <c r="AO293" s="126"/>
      <c r="AP293" s="126"/>
      <c r="AQ293" s="126"/>
      <c r="AR293" s="126"/>
      <c r="AS293" s="126"/>
      <c r="AT293" s="126"/>
    </row>
    <row r="294" spans="1:46" ht="102" x14ac:dyDescent="0.25">
      <c r="A294" s="105">
        <f t="shared" si="43"/>
        <v>22</v>
      </c>
      <c r="B294" s="105" t="s">
        <v>1029</v>
      </c>
      <c r="C294" s="105" t="s">
        <v>946</v>
      </c>
      <c r="D294" s="105" t="s">
        <v>947</v>
      </c>
      <c r="E294" s="105" t="s">
        <v>948</v>
      </c>
      <c r="F294" s="105" t="s">
        <v>997</v>
      </c>
      <c r="G294" s="105" t="s">
        <v>998</v>
      </c>
      <c r="H294" s="171" t="s">
        <v>999</v>
      </c>
      <c r="I294" s="105" t="s">
        <v>1030</v>
      </c>
      <c r="J294" s="105" t="s">
        <v>1031</v>
      </c>
      <c r="K294" s="105">
        <v>81111500</v>
      </c>
      <c r="L294" s="18" t="s">
        <v>949</v>
      </c>
      <c r="M294" s="18" t="s">
        <v>59</v>
      </c>
      <c r="N294" s="18" t="s">
        <v>60</v>
      </c>
      <c r="O294" s="126" t="s">
        <v>898</v>
      </c>
      <c r="P294" s="18" t="s">
        <v>1006</v>
      </c>
      <c r="Q294" s="188" t="e">
        <f>+S294/Z294</f>
        <v>#DIV/0!</v>
      </c>
      <c r="R294" s="18">
        <v>1</v>
      </c>
      <c r="S294" s="192">
        <v>350000000</v>
      </c>
      <c r="T294" s="18" t="s">
        <v>1007</v>
      </c>
      <c r="U294" s="25" t="s">
        <v>199</v>
      </c>
      <c r="V294" s="172" t="s">
        <v>836</v>
      </c>
      <c r="W294" s="92">
        <v>12</v>
      </c>
      <c r="X294" s="106"/>
      <c r="Y294" s="107"/>
      <c r="Z294" s="188"/>
      <c r="AA294" s="126"/>
      <c r="AB294" s="126"/>
      <c r="AC294" s="126"/>
      <c r="AD294" s="126"/>
      <c r="AE294" s="189">
        <f t="shared" si="41"/>
        <v>350000000</v>
      </c>
      <c r="AF294" s="124"/>
      <c r="AG294" s="126"/>
      <c r="AH294" s="177"/>
      <c r="AI294" s="126"/>
      <c r="AJ294" s="126"/>
      <c r="AK294" s="126"/>
      <c r="AL294" s="126"/>
      <c r="AM294" s="191">
        <f t="shared" si="42"/>
        <v>0</v>
      </c>
      <c r="AN294" s="126"/>
      <c r="AO294" s="126"/>
      <c r="AP294" s="126"/>
      <c r="AQ294" s="126"/>
      <c r="AR294" s="126"/>
      <c r="AS294" s="126"/>
      <c r="AT294" s="126"/>
    </row>
    <row r="295" spans="1:46" ht="102" x14ac:dyDescent="0.25">
      <c r="A295" s="105">
        <f t="shared" si="43"/>
        <v>23</v>
      </c>
      <c r="B295" s="105" t="s">
        <v>1032</v>
      </c>
      <c r="C295" s="105" t="s">
        <v>946</v>
      </c>
      <c r="D295" s="105" t="s">
        <v>947</v>
      </c>
      <c r="E295" s="105" t="s">
        <v>948</v>
      </c>
      <c r="F295" s="105" t="s">
        <v>997</v>
      </c>
      <c r="G295" s="105" t="s">
        <v>998</v>
      </c>
      <c r="H295" s="171" t="s">
        <v>999</v>
      </c>
      <c r="I295" s="105" t="s">
        <v>1033</v>
      </c>
      <c r="J295" s="105" t="s">
        <v>1034</v>
      </c>
      <c r="K295" s="105">
        <v>81111500</v>
      </c>
      <c r="L295" s="18" t="s">
        <v>949</v>
      </c>
      <c r="M295" s="18" t="s">
        <v>59</v>
      </c>
      <c r="N295" s="18" t="s">
        <v>60</v>
      </c>
      <c r="O295" s="126" t="s">
        <v>898</v>
      </c>
      <c r="P295" s="18" t="s">
        <v>1006</v>
      </c>
      <c r="Q295" s="188" t="e">
        <f>+S295/Z295</f>
        <v>#DIV/0!</v>
      </c>
      <c r="R295" s="18">
        <v>1</v>
      </c>
      <c r="S295" s="192">
        <v>740511000</v>
      </c>
      <c r="T295" s="18" t="s">
        <v>1007</v>
      </c>
      <c r="U295" s="25" t="s">
        <v>199</v>
      </c>
      <c r="V295" s="172" t="s">
        <v>836</v>
      </c>
      <c r="W295" s="92">
        <v>12</v>
      </c>
      <c r="X295" s="106"/>
      <c r="Y295" s="107"/>
      <c r="Z295" s="188"/>
      <c r="AA295" s="126"/>
      <c r="AB295" s="126"/>
      <c r="AC295" s="126"/>
      <c r="AD295" s="126"/>
      <c r="AE295" s="189">
        <f t="shared" si="41"/>
        <v>740511000</v>
      </c>
      <c r="AF295" s="124"/>
      <c r="AG295" s="126"/>
      <c r="AH295" s="177"/>
      <c r="AI295" s="126"/>
      <c r="AJ295" s="126"/>
      <c r="AK295" s="126"/>
      <c r="AL295" s="126"/>
      <c r="AM295" s="191">
        <f t="shared" si="42"/>
        <v>0</v>
      </c>
      <c r="AN295" s="126"/>
      <c r="AO295" s="126"/>
      <c r="AP295" s="126"/>
      <c r="AQ295" s="126"/>
      <c r="AR295" s="126"/>
      <c r="AS295" s="126"/>
      <c r="AT295" s="126"/>
    </row>
    <row r="296" spans="1:46" ht="102" x14ac:dyDescent="0.25">
      <c r="A296" s="105">
        <f t="shared" si="43"/>
        <v>24</v>
      </c>
      <c r="B296" s="105" t="s">
        <v>1035</v>
      </c>
      <c r="C296" s="105" t="s">
        <v>946</v>
      </c>
      <c r="D296" s="105" t="s">
        <v>947</v>
      </c>
      <c r="E296" s="105" t="s">
        <v>948</v>
      </c>
      <c r="F296" s="105" t="s">
        <v>186</v>
      </c>
      <c r="G296" s="105" t="s">
        <v>230</v>
      </c>
      <c r="H296" s="171" t="s">
        <v>235</v>
      </c>
      <c r="I296" s="105" t="s">
        <v>56</v>
      </c>
      <c r="J296" s="105" t="s">
        <v>57</v>
      </c>
      <c r="K296" s="18">
        <v>81112204</v>
      </c>
      <c r="L296" s="18" t="s">
        <v>949</v>
      </c>
      <c r="M296" s="18" t="s">
        <v>59</v>
      </c>
      <c r="N296" s="18" t="s">
        <v>60</v>
      </c>
      <c r="O296" s="126" t="s">
        <v>898</v>
      </c>
      <c r="P296" s="18" t="s">
        <v>1036</v>
      </c>
      <c r="Q296" s="188">
        <v>2100000</v>
      </c>
      <c r="R296" s="18">
        <v>1</v>
      </c>
      <c r="S296" s="188">
        <f>25200000-7735-2511218</f>
        <v>22681047</v>
      </c>
      <c r="T296" s="18" t="s">
        <v>1007</v>
      </c>
      <c r="U296" s="105" t="s">
        <v>205</v>
      </c>
      <c r="V296" s="172" t="s">
        <v>308</v>
      </c>
      <c r="W296" s="92">
        <v>12</v>
      </c>
      <c r="X296" s="106"/>
      <c r="Y296" s="107"/>
      <c r="Z296" s="188"/>
      <c r="AA296" s="126"/>
      <c r="AB296" s="126"/>
      <c r="AC296" s="126"/>
      <c r="AD296" s="126"/>
      <c r="AE296" s="189">
        <f t="shared" si="41"/>
        <v>22681047</v>
      </c>
      <c r="AF296" s="124"/>
      <c r="AG296" s="126"/>
      <c r="AH296" s="177"/>
      <c r="AI296" s="126"/>
      <c r="AJ296" s="126"/>
      <c r="AK296" s="126"/>
      <c r="AL296" s="126"/>
      <c r="AM296" s="191">
        <f t="shared" si="42"/>
        <v>0</v>
      </c>
      <c r="AN296" s="126"/>
      <c r="AO296" s="126"/>
      <c r="AP296" s="126"/>
      <c r="AQ296" s="126"/>
      <c r="AR296" s="126"/>
      <c r="AS296" s="126"/>
      <c r="AT296" s="126"/>
    </row>
    <row r="297" spans="1:46" ht="178.5" x14ac:dyDescent="0.25">
      <c r="A297" s="105">
        <f t="shared" si="43"/>
        <v>25</v>
      </c>
      <c r="B297" s="105" t="s">
        <v>1037</v>
      </c>
      <c r="C297" s="105" t="s">
        <v>946</v>
      </c>
      <c r="D297" s="105" t="s">
        <v>947</v>
      </c>
      <c r="E297" s="105" t="s">
        <v>948</v>
      </c>
      <c r="F297" s="105" t="s">
        <v>186</v>
      </c>
      <c r="G297" s="105" t="s">
        <v>230</v>
      </c>
      <c r="H297" s="171" t="s">
        <v>235</v>
      </c>
      <c r="I297" s="105" t="s">
        <v>56</v>
      </c>
      <c r="J297" s="105" t="s">
        <v>57</v>
      </c>
      <c r="K297" s="105">
        <v>81111500</v>
      </c>
      <c r="L297" s="18" t="s">
        <v>949</v>
      </c>
      <c r="M297" s="18" t="s">
        <v>59</v>
      </c>
      <c r="N297" s="18" t="s">
        <v>60</v>
      </c>
      <c r="O297" s="126" t="s">
        <v>898</v>
      </c>
      <c r="P297" s="18" t="s">
        <v>1038</v>
      </c>
      <c r="Q297" s="188">
        <v>2900000</v>
      </c>
      <c r="R297" s="18">
        <v>15</v>
      </c>
      <c r="S297" s="188">
        <f>43500000-7589820</f>
        <v>35910180</v>
      </c>
      <c r="T297" s="26" t="s">
        <v>1020</v>
      </c>
      <c r="U297" s="25" t="s">
        <v>1025</v>
      </c>
      <c r="V297" s="172" t="s">
        <v>1015</v>
      </c>
      <c r="W297" s="92">
        <v>1</v>
      </c>
      <c r="X297" s="106"/>
      <c r="Y297" s="107"/>
      <c r="Z297" s="188"/>
      <c r="AA297" s="126"/>
      <c r="AB297" s="126"/>
      <c r="AC297" s="126"/>
      <c r="AD297" s="126"/>
      <c r="AE297" s="189">
        <f t="shared" si="41"/>
        <v>35910180</v>
      </c>
      <c r="AF297" s="124"/>
      <c r="AG297" s="126"/>
      <c r="AH297" s="177"/>
      <c r="AI297" s="126"/>
      <c r="AJ297" s="126"/>
      <c r="AK297" s="126"/>
      <c r="AL297" s="126"/>
      <c r="AM297" s="191">
        <f t="shared" si="42"/>
        <v>0</v>
      </c>
      <c r="AN297" s="126"/>
      <c r="AO297" s="126"/>
      <c r="AP297" s="126"/>
      <c r="AQ297" s="126"/>
      <c r="AR297" s="126"/>
      <c r="AS297" s="126"/>
      <c r="AT297" s="126"/>
    </row>
    <row r="298" spans="1:46" ht="178.5" x14ac:dyDescent="0.25">
      <c r="A298" s="105">
        <f t="shared" si="43"/>
        <v>26</v>
      </c>
      <c r="B298" s="105" t="s">
        <v>1039</v>
      </c>
      <c r="C298" s="105" t="s">
        <v>946</v>
      </c>
      <c r="D298" s="105" t="s">
        <v>947</v>
      </c>
      <c r="E298" s="105" t="s">
        <v>948</v>
      </c>
      <c r="F298" s="105" t="s">
        <v>186</v>
      </c>
      <c r="G298" s="105" t="s">
        <v>230</v>
      </c>
      <c r="H298" s="171" t="s">
        <v>235</v>
      </c>
      <c r="I298" s="105" t="s">
        <v>56</v>
      </c>
      <c r="J298" s="105" t="s">
        <v>57</v>
      </c>
      <c r="K298" s="105">
        <v>81111500</v>
      </c>
      <c r="L298" s="18" t="s">
        <v>949</v>
      </c>
      <c r="M298" s="18" t="s">
        <v>59</v>
      </c>
      <c r="N298" s="18" t="s">
        <v>60</v>
      </c>
      <c r="O298" s="126" t="s">
        <v>898</v>
      </c>
      <c r="P298" s="18" t="s">
        <v>1040</v>
      </c>
      <c r="Q298" s="188">
        <v>13300000</v>
      </c>
      <c r="R298" s="18">
        <v>650</v>
      </c>
      <c r="S298" s="188">
        <v>159600000</v>
      </c>
      <c r="T298" s="18" t="s">
        <v>1007</v>
      </c>
      <c r="U298" s="25" t="s">
        <v>1025</v>
      </c>
      <c r="V298" s="172" t="s">
        <v>1015</v>
      </c>
      <c r="W298" s="92">
        <v>12</v>
      </c>
      <c r="X298" s="106"/>
      <c r="Y298" s="107"/>
      <c r="Z298" s="188"/>
      <c r="AA298" s="126"/>
      <c r="AB298" s="126"/>
      <c r="AC298" s="126"/>
      <c r="AD298" s="126"/>
      <c r="AE298" s="189">
        <f t="shared" si="41"/>
        <v>159600000</v>
      </c>
      <c r="AF298" s="124"/>
      <c r="AG298" s="126"/>
      <c r="AH298" s="177"/>
      <c r="AI298" s="126"/>
      <c r="AJ298" s="126"/>
      <c r="AK298" s="126"/>
      <c r="AL298" s="126"/>
      <c r="AM298" s="191">
        <f t="shared" si="42"/>
        <v>0</v>
      </c>
      <c r="AN298" s="126"/>
      <c r="AO298" s="126"/>
      <c r="AP298" s="126"/>
      <c r="AQ298" s="126"/>
      <c r="AR298" s="126"/>
      <c r="AS298" s="126"/>
      <c r="AT298" s="126"/>
    </row>
    <row r="299" spans="1:46" ht="102" x14ac:dyDescent="0.25">
      <c r="A299" s="105">
        <f t="shared" si="43"/>
        <v>27</v>
      </c>
      <c r="B299" s="105" t="s">
        <v>1041</v>
      </c>
      <c r="C299" s="105" t="s">
        <v>946</v>
      </c>
      <c r="D299" s="105" t="s">
        <v>947</v>
      </c>
      <c r="E299" s="105" t="s">
        <v>948</v>
      </c>
      <c r="F299" s="105" t="s">
        <v>186</v>
      </c>
      <c r="G299" s="105" t="s">
        <v>230</v>
      </c>
      <c r="H299" s="171" t="s">
        <v>235</v>
      </c>
      <c r="I299" s="105" t="s">
        <v>56</v>
      </c>
      <c r="J299" s="105" t="s">
        <v>57</v>
      </c>
      <c r="K299" s="105">
        <v>81111500</v>
      </c>
      <c r="L299" s="18" t="s">
        <v>949</v>
      </c>
      <c r="M299" s="18" t="s">
        <v>59</v>
      </c>
      <c r="N299" s="18" t="s">
        <v>60</v>
      </c>
      <c r="O299" s="126" t="s">
        <v>898</v>
      </c>
      <c r="P299" s="18" t="s">
        <v>1042</v>
      </c>
      <c r="Q299" s="188">
        <v>9800000</v>
      </c>
      <c r="R299" s="18">
        <v>1</v>
      </c>
      <c r="S299" s="188">
        <v>79721000</v>
      </c>
      <c r="T299" s="26" t="s">
        <v>1020</v>
      </c>
      <c r="U299" s="105" t="s">
        <v>205</v>
      </c>
      <c r="V299" s="172" t="s">
        <v>308</v>
      </c>
      <c r="W299" s="92">
        <v>8</v>
      </c>
      <c r="X299" s="106"/>
      <c r="Y299" s="107"/>
      <c r="Z299" s="188"/>
      <c r="AA299" s="126"/>
      <c r="AB299" s="126"/>
      <c r="AC299" s="126"/>
      <c r="AD299" s="126"/>
      <c r="AE299" s="189">
        <f t="shared" si="41"/>
        <v>79721000</v>
      </c>
      <c r="AF299" s="124"/>
      <c r="AG299" s="126"/>
      <c r="AH299" s="177"/>
      <c r="AI299" s="126"/>
      <c r="AJ299" s="126"/>
      <c r="AK299" s="126"/>
      <c r="AL299" s="126"/>
      <c r="AM299" s="191">
        <f t="shared" si="42"/>
        <v>0</v>
      </c>
      <c r="AN299" s="126"/>
      <c r="AO299" s="126"/>
      <c r="AP299" s="126"/>
      <c r="AQ299" s="126"/>
      <c r="AR299" s="126"/>
      <c r="AS299" s="126"/>
      <c r="AT299" s="126"/>
    </row>
    <row r="300" spans="1:46" ht="178.5" x14ac:dyDescent="0.25">
      <c r="A300" s="105">
        <f t="shared" si="43"/>
        <v>28</v>
      </c>
      <c r="B300" s="105" t="s">
        <v>1043</v>
      </c>
      <c r="C300" s="105" t="s">
        <v>946</v>
      </c>
      <c r="D300" s="105" t="s">
        <v>947</v>
      </c>
      <c r="E300" s="105" t="s">
        <v>948</v>
      </c>
      <c r="F300" s="105" t="s">
        <v>53</v>
      </c>
      <c r="G300" s="105" t="s">
        <v>54</v>
      </c>
      <c r="H300" s="171" t="s">
        <v>55</v>
      </c>
      <c r="I300" s="105" t="s">
        <v>56</v>
      </c>
      <c r="J300" s="105" t="s">
        <v>57</v>
      </c>
      <c r="K300" s="18">
        <v>80111600</v>
      </c>
      <c r="L300" s="18" t="s">
        <v>949</v>
      </c>
      <c r="M300" s="18" t="s">
        <v>59</v>
      </c>
      <c r="N300" s="18" t="s">
        <v>60</v>
      </c>
      <c r="O300" s="126" t="s">
        <v>1001</v>
      </c>
      <c r="P300" s="18" t="s">
        <v>1044</v>
      </c>
      <c r="Q300" s="188">
        <v>15470000</v>
      </c>
      <c r="R300" s="18">
        <v>1</v>
      </c>
      <c r="S300" s="188">
        <v>177905000</v>
      </c>
      <c r="T300" s="26" t="s">
        <v>900</v>
      </c>
      <c r="U300" s="18" t="s">
        <v>1045</v>
      </c>
      <c r="V300" s="172" t="s">
        <v>308</v>
      </c>
      <c r="W300" s="184">
        <v>12</v>
      </c>
      <c r="X300" s="106" t="s">
        <v>1046</v>
      </c>
      <c r="Y300" s="107">
        <v>43122</v>
      </c>
      <c r="Z300" s="188">
        <v>177905000</v>
      </c>
      <c r="AA300" s="126" t="s">
        <v>1004</v>
      </c>
      <c r="AB300" s="126">
        <v>560</v>
      </c>
      <c r="AC300" s="107">
        <v>43123</v>
      </c>
      <c r="AD300" s="177">
        <v>177905000</v>
      </c>
      <c r="AE300" s="189">
        <f t="shared" si="41"/>
        <v>0</v>
      </c>
      <c r="AF300" s="124">
        <v>486</v>
      </c>
      <c r="AG300" s="107">
        <v>43126</v>
      </c>
      <c r="AH300" s="177">
        <v>177905000</v>
      </c>
      <c r="AI300" s="126" t="s">
        <v>1047</v>
      </c>
      <c r="AJ300" s="169">
        <v>408</v>
      </c>
      <c r="AK300" s="126"/>
      <c r="AL300" s="190">
        <v>33518334</v>
      </c>
      <c r="AM300" s="191">
        <f t="shared" si="42"/>
        <v>144386666</v>
      </c>
      <c r="AN300" s="126"/>
      <c r="AO300" s="126"/>
      <c r="AP300" s="126"/>
      <c r="AQ300" s="126"/>
      <c r="AR300" s="126"/>
      <c r="AS300" s="126"/>
      <c r="AT300" s="126"/>
    </row>
    <row r="301" spans="1:46" ht="178.5" x14ac:dyDescent="0.25">
      <c r="A301" s="105">
        <f t="shared" si="43"/>
        <v>29</v>
      </c>
      <c r="B301" s="105" t="s">
        <v>1048</v>
      </c>
      <c r="C301" s="105" t="s">
        <v>946</v>
      </c>
      <c r="D301" s="105" t="s">
        <v>947</v>
      </c>
      <c r="E301" s="105" t="s">
        <v>948</v>
      </c>
      <c r="F301" s="105" t="s">
        <v>186</v>
      </c>
      <c r="G301" s="105" t="s">
        <v>230</v>
      </c>
      <c r="H301" s="171" t="s">
        <v>235</v>
      </c>
      <c r="I301" s="105" t="s">
        <v>56</v>
      </c>
      <c r="J301" s="105" t="s">
        <v>57</v>
      </c>
      <c r="K301" s="105">
        <v>81111500</v>
      </c>
      <c r="L301" s="18" t="s">
        <v>949</v>
      </c>
      <c r="M301" s="18" t="s">
        <v>59</v>
      </c>
      <c r="N301" s="18" t="s">
        <v>60</v>
      </c>
      <c r="O301" s="126" t="s">
        <v>898</v>
      </c>
      <c r="P301" s="84" t="s">
        <v>1049</v>
      </c>
      <c r="Q301" s="193">
        <v>33376261</v>
      </c>
      <c r="R301" s="18">
        <v>1.87</v>
      </c>
      <c r="S301" s="192">
        <v>62302353</v>
      </c>
      <c r="T301" s="18" t="s">
        <v>1007</v>
      </c>
      <c r="U301" s="25" t="s">
        <v>1025</v>
      </c>
      <c r="V301" s="172" t="s">
        <v>308</v>
      </c>
      <c r="W301" s="92">
        <v>12</v>
      </c>
      <c r="X301" s="106" t="s">
        <v>1050</v>
      </c>
      <c r="Y301" s="107">
        <v>43139</v>
      </c>
      <c r="Z301" s="188">
        <v>62302353</v>
      </c>
      <c r="AA301" s="126" t="s">
        <v>1027</v>
      </c>
      <c r="AB301" s="126">
        <v>639</v>
      </c>
      <c r="AC301" s="107">
        <v>43139</v>
      </c>
      <c r="AD301" s="177">
        <v>62302353</v>
      </c>
      <c r="AE301" s="189">
        <f t="shared" si="41"/>
        <v>0</v>
      </c>
      <c r="AF301" s="124">
        <v>1468</v>
      </c>
      <c r="AG301" s="107">
        <v>43154</v>
      </c>
      <c r="AH301" s="186">
        <v>62302353</v>
      </c>
      <c r="AI301" s="126" t="s">
        <v>1051</v>
      </c>
      <c r="AJ301" s="126">
        <v>327</v>
      </c>
      <c r="AK301" s="126"/>
      <c r="AL301" s="190">
        <v>10403798</v>
      </c>
      <c r="AM301" s="191">
        <f t="shared" si="42"/>
        <v>51898555</v>
      </c>
      <c r="AN301" s="126"/>
      <c r="AO301" s="126"/>
      <c r="AP301" s="126"/>
      <c r="AQ301" s="126"/>
      <c r="AR301" s="126"/>
      <c r="AS301" s="126"/>
      <c r="AT301" s="126"/>
    </row>
    <row r="302" spans="1:46" ht="178.5" x14ac:dyDescent="0.25">
      <c r="A302" s="105">
        <f t="shared" si="43"/>
        <v>30</v>
      </c>
      <c r="B302" s="105" t="s">
        <v>1052</v>
      </c>
      <c r="C302" s="105" t="s">
        <v>946</v>
      </c>
      <c r="D302" s="105" t="s">
        <v>947</v>
      </c>
      <c r="E302" s="105" t="s">
        <v>948</v>
      </c>
      <c r="F302" s="105" t="s">
        <v>186</v>
      </c>
      <c r="G302" s="105" t="s">
        <v>230</v>
      </c>
      <c r="H302" s="171" t="s">
        <v>235</v>
      </c>
      <c r="I302" s="105" t="s">
        <v>56</v>
      </c>
      <c r="J302" s="105" t="s">
        <v>57</v>
      </c>
      <c r="K302" s="105">
        <v>81111500</v>
      </c>
      <c r="L302" s="18" t="s">
        <v>949</v>
      </c>
      <c r="M302" s="18" t="s">
        <v>59</v>
      </c>
      <c r="N302" s="18" t="s">
        <v>60</v>
      </c>
      <c r="O302" s="126" t="s">
        <v>1001</v>
      </c>
      <c r="P302" s="18" t="s">
        <v>1053</v>
      </c>
      <c r="Q302" s="194">
        <f>S302/R302</f>
        <v>356313632.5</v>
      </c>
      <c r="R302" s="18">
        <v>2</v>
      </c>
      <c r="S302" s="188">
        <f>107769709+565000000+32267736+7589820</f>
        <v>712627265</v>
      </c>
      <c r="T302" s="126"/>
      <c r="U302" s="25" t="s">
        <v>1025</v>
      </c>
      <c r="V302" s="126"/>
      <c r="W302" s="92">
        <v>1</v>
      </c>
      <c r="X302" s="106" t="s">
        <v>1054</v>
      </c>
      <c r="Y302" s="107">
        <v>43173</v>
      </c>
      <c r="Z302" s="188">
        <v>712627265</v>
      </c>
      <c r="AA302" s="126" t="s">
        <v>1055</v>
      </c>
      <c r="AB302" s="126">
        <v>761</v>
      </c>
      <c r="AC302" s="107">
        <v>43185</v>
      </c>
      <c r="AD302" s="177">
        <v>678072000</v>
      </c>
      <c r="AE302" s="126"/>
      <c r="AF302" s="124">
        <v>1802</v>
      </c>
      <c r="AG302" s="107">
        <v>43203</v>
      </c>
      <c r="AH302" s="190">
        <v>678072000</v>
      </c>
      <c r="AI302" s="126" t="s">
        <v>1056</v>
      </c>
      <c r="AJ302" s="126">
        <v>433</v>
      </c>
      <c r="AK302" s="126"/>
      <c r="AL302" s="126"/>
      <c r="AM302" s="191">
        <f t="shared" si="42"/>
        <v>678072000</v>
      </c>
      <c r="AN302" s="180"/>
      <c r="AO302" s="180"/>
      <c r="AP302" s="180"/>
      <c r="AQ302" s="180"/>
      <c r="AR302" s="180"/>
      <c r="AS302" s="180"/>
      <c r="AT302" s="180"/>
    </row>
    <row r="303" spans="1:46" ht="178.5" x14ac:dyDescent="0.25">
      <c r="A303" s="105">
        <f t="shared" si="43"/>
        <v>31</v>
      </c>
      <c r="B303" s="105" t="s">
        <v>1057</v>
      </c>
      <c r="C303" s="105" t="s">
        <v>946</v>
      </c>
      <c r="D303" s="105" t="s">
        <v>947</v>
      </c>
      <c r="E303" s="105" t="s">
        <v>948</v>
      </c>
      <c r="F303" s="105" t="s">
        <v>186</v>
      </c>
      <c r="G303" s="105" t="s">
        <v>230</v>
      </c>
      <c r="H303" s="171" t="s">
        <v>235</v>
      </c>
      <c r="I303" s="105" t="s">
        <v>56</v>
      </c>
      <c r="J303" s="105" t="s">
        <v>57</v>
      </c>
      <c r="K303" s="105">
        <v>81111500</v>
      </c>
      <c r="L303" s="18" t="s">
        <v>949</v>
      </c>
      <c r="M303" s="18" t="s">
        <v>59</v>
      </c>
      <c r="N303" s="18" t="s">
        <v>60</v>
      </c>
      <c r="O303" s="126" t="s">
        <v>1001</v>
      </c>
      <c r="P303" s="18" t="s">
        <v>1053</v>
      </c>
      <c r="Q303" s="194">
        <f>S303/R303</f>
        <v>3867.5</v>
      </c>
      <c r="R303" s="18">
        <v>2</v>
      </c>
      <c r="S303" s="188">
        <v>7735</v>
      </c>
      <c r="T303" s="126"/>
      <c r="U303" s="25" t="s">
        <v>1025</v>
      </c>
      <c r="V303" s="126"/>
      <c r="W303" s="92">
        <v>1</v>
      </c>
      <c r="X303" s="106" t="s">
        <v>1058</v>
      </c>
      <c r="Y303" s="107">
        <v>43185</v>
      </c>
      <c r="Z303" s="188">
        <v>7735</v>
      </c>
      <c r="AA303" s="126" t="s">
        <v>1059</v>
      </c>
      <c r="AB303" s="126">
        <v>761</v>
      </c>
      <c r="AC303" s="107">
        <v>43185</v>
      </c>
      <c r="AD303" s="188"/>
      <c r="AE303" s="126"/>
      <c r="AF303" s="124">
        <v>1802</v>
      </c>
      <c r="AG303" s="107">
        <v>43203</v>
      </c>
      <c r="AH303" s="180">
        <v>0</v>
      </c>
      <c r="AI303" s="126"/>
      <c r="AJ303" s="126"/>
      <c r="AK303" s="126"/>
      <c r="AL303" s="126"/>
      <c r="AM303" s="191">
        <f t="shared" si="42"/>
        <v>0</v>
      </c>
      <c r="AN303" s="180"/>
      <c r="AO303" s="180"/>
      <c r="AP303" s="180"/>
      <c r="AQ303" s="180"/>
      <c r="AR303" s="180"/>
      <c r="AS303" s="180"/>
      <c r="AT303" s="180"/>
    </row>
    <row r="304" spans="1:46" ht="114.75" x14ac:dyDescent="0.25">
      <c r="A304" s="105">
        <f t="shared" si="43"/>
        <v>32</v>
      </c>
      <c r="B304" s="105" t="s">
        <v>1060</v>
      </c>
      <c r="C304" s="105" t="s">
        <v>946</v>
      </c>
      <c r="D304" s="105" t="s">
        <v>947</v>
      </c>
      <c r="E304" s="105" t="s">
        <v>948</v>
      </c>
      <c r="F304" s="105" t="s">
        <v>186</v>
      </c>
      <c r="G304" s="105" t="s">
        <v>230</v>
      </c>
      <c r="H304" s="171" t="s">
        <v>235</v>
      </c>
      <c r="I304" s="105" t="s">
        <v>56</v>
      </c>
      <c r="J304" s="105" t="s">
        <v>57</v>
      </c>
      <c r="K304" s="18">
        <v>81112204</v>
      </c>
      <c r="L304" s="18" t="s">
        <v>949</v>
      </c>
      <c r="M304" s="18" t="s">
        <v>59</v>
      </c>
      <c r="N304" s="18" t="s">
        <v>60</v>
      </c>
      <c r="O304" s="126" t="s">
        <v>898</v>
      </c>
      <c r="P304" s="18" t="s">
        <v>1061</v>
      </c>
      <c r="Q304" s="188">
        <v>1004487</v>
      </c>
      <c r="R304" s="18">
        <v>1</v>
      </c>
      <c r="S304" s="188">
        <v>2511218</v>
      </c>
      <c r="T304" s="18" t="s">
        <v>63</v>
      </c>
      <c r="U304" s="105" t="s">
        <v>1062</v>
      </c>
      <c r="V304" s="172" t="s">
        <v>302</v>
      </c>
      <c r="W304" s="92" t="s">
        <v>1063</v>
      </c>
      <c r="X304" s="106" t="s">
        <v>1064</v>
      </c>
      <c r="Y304" s="107">
        <v>43196</v>
      </c>
      <c r="Z304" s="188">
        <v>2511218</v>
      </c>
      <c r="AA304" s="126" t="s">
        <v>1065</v>
      </c>
      <c r="AB304" s="126">
        <v>767</v>
      </c>
      <c r="AC304" s="107">
        <v>43199</v>
      </c>
      <c r="AD304" s="177">
        <v>2511218</v>
      </c>
      <c r="AE304" s="189">
        <f>S304-Z304</f>
        <v>0</v>
      </c>
      <c r="AF304" s="124">
        <v>1756</v>
      </c>
      <c r="AG304" s="107">
        <v>43200</v>
      </c>
      <c r="AH304" s="190">
        <v>2511218</v>
      </c>
      <c r="AI304" s="126"/>
      <c r="AJ304" s="126"/>
      <c r="AK304" s="126"/>
      <c r="AL304" s="126"/>
      <c r="AM304" s="191">
        <f>AH304-AL304</f>
        <v>2511218</v>
      </c>
      <c r="AN304" s="126"/>
      <c r="AO304" s="126"/>
      <c r="AP304" s="126"/>
      <c r="AQ304" s="126"/>
      <c r="AR304" s="126"/>
      <c r="AS304" s="126"/>
      <c r="AT304" s="126"/>
    </row>
    <row r="305" spans="1:47" ht="179.25" thickBot="1" x14ac:dyDescent="0.3">
      <c r="A305" s="105">
        <f t="shared" si="43"/>
        <v>33</v>
      </c>
      <c r="B305" s="105" t="s">
        <v>1066</v>
      </c>
      <c r="C305" s="105" t="s">
        <v>946</v>
      </c>
      <c r="D305" s="105" t="s">
        <v>947</v>
      </c>
      <c r="E305" s="105" t="s">
        <v>948</v>
      </c>
      <c r="F305" s="105" t="s">
        <v>186</v>
      </c>
      <c r="G305" s="105" t="s">
        <v>230</v>
      </c>
      <c r="H305" s="171" t="s">
        <v>235</v>
      </c>
      <c r="I305" s="105" t="s">
        <v>56</v>
      </c>
      <c r="J305" s="105" t="s">
        <v>57</v>
      </c>
      <c r="K305" s="105">
        <v>81111500</v>
      </c>
      <c r="L305" s="18" t="s">
        <v>949</v>
      </c>
      <c r="M305" s="18" t="s">
        <v>59</v>
      </c>
      <c r="N305" s="18" t="s">
        <v>60</v>
      </c>
      <c r="O305" s="126" t="s">
        <v>898</v>
      </c>
      <c r="P305" s="18" t="s">
        <v>1067</v>
      </c>
      <c r="Q305" s="192">
        <v>342263852</v>
      </c>
      <c r="R305" s="18">
        <v>1</v>
      </c>
      <c r="S305" s="192">
        <v>342263852</v>
      </c>
      <c r="T305" s="18" t="s">
        <v>1020</v>
      </c>
      <c r="U305" s="25" t="s">
        <v>1025</v>
      </c>
      <c r="V305" s="172" t="s">
        <v>1068</v>
      </c>
      <c r="W305" s="92">
        <v>1</v>
      </c>
      <c r="X305" s="106" t="s">
        <v>1069</v>
      </c>
      <c r="Y305" s="107">
        <v>43216</v>
      </c>
      <c r="Z305" s="192">
        <v>342263852</v>
      </c>
      <c r="AA305" s="126" t="s">
        <v>1027</v>
      </c>
      <c r="AB305" s="126">
        <v>807</v>
      </c>
      <c r="AC305" s="107">
        <v>42852</v>
      </c>
      <c r="AD305" s="177">
        <v>342263852</v>
      </c>
      <c r="AE305" s="189"/>
      <c r="AF305" s="124"/>
      <c r="AG305" s="126"/>
      <c r="AH305" s="126"/>
      <c r="AI305" s="126"/>
      <c r="AJ305" s="126"/>
      <c r="AK305" s="126"/>
      <c r="AL305" s="126"/>
      <c r="AM305" s="191"/>
      <c r="AN305" s="126"/>
      <c r="AO305" s="126"/>
      <c r="AP305" s="126"/>
      <c r="AQ305" s="126"/>
      <c r="AR305" s="126"/>
      <c r="AS305" s="126"/>
      <c r="AT305" s="126"/>
    </row>
    <row r="306" spans="1:47" ht="103.5" thickTop="1" thickBot="1" x14ac:dyDescent="0.3">
      <c r="A306" s="249">
        <v>1</v>
      </c>
      <c r="B306" s="250" t="s">
        <v>1070</v>
      </c>
      <c r="C306" s="102" t="s">
        <v>1071</v>
      </c>
      <c r="D306" s="102" t="s">
        <v>286</v>
      </c>
      <c r="E306" s="102" t="s">
        <v>1072</v>
      </c>
      <c r="F306" s="102" t="s">
        <v>53</v>
      </c>
      <c r="G306" s="102" t="s">
        <v>54</v>
      </c>
      <c r="H306" s="195" t="s">
        <v>305</v>
      </c>
      <c r="I306" s="102" t="s">
        <v>56</v>
      </c>
      <c r="J306" s="102" t="s">
        <v>57</v>
      </c>
      <c r="K306" s="102">
        <v>801116</v>
      </c>
      <c r="L306" s="102" t="s">
        <v>1073</v>
      </c>
      <c r="M306" s="102" t="s">
        <v>1074</v>
      </c>
      <c r="N306" s="102" t="s">
        <v>1075</v>
      </c>
      <c r="O306" s="102" t="s">
        <v>1076</v>
      </c>
      <c r="P306" s="195" t="s">
        <v>1077</v>
      </c>
      <c r="Q306" s="196">
        <v>10021818.181818182</v>
      </c>
      <c r="R306" s="102">
        <v>1</v>
      </c>
      <c r="S306" s="197">
        <v>110240000</v>
      </c>
      <c r="T306" s="198" t="s">
        <v>1078</v>
      </c>
      <c r="U306" s="102" t="s">
        <v>68</v>
      </c>
      <c r="V306" s="199">
        <v>43115</v>
      </c>
      <c r="W306" s="102">
        <v>11</v>
      </c>
      <c r="X306" s="102"/>
      <c r="Y306" s="199"/>
      <c r="Z306" s="200"/>
      <c r="AA306" s="200"/>
      <c r="AB306" s="102"/>
      <c r="AC306" s="102"/>
      <c r="AD306" s="102"/>
      <c r="AE306" s="102"/>
      <c r="AF306" s="102"/>
      <c r="AG306" s="102"/>
      <c r="AH306" s="201">
        <v>27452701</v>
      </c>
      <c r="AI306" s="110" t="s">
        <v>861</v>
      </c>
      <c r="AJ306" s="102"/>
      <c r="AK306" s="102"/>
      <c r="AL306" s="102"/>
      <c r="AM306" s="201">
        <v>26383992.109115485</v>
      </c>
      <c r="AN306" s="201">
        <v>7319864</v>
      </c>
      <c r="AO306" s="102"/>
      <c r="AP306" s="102"/>
      <c r="AQ306" s="102"/>
      <c r="AR306" s="102"/>
      <c r="AS306" s="102"/>
      <c r="AT306" s="102"/>
      <c r="AU306" s="86"/>
    </row>
    <row r="307" spans="1:47" ht="103.5" thickTop="1" thickBot="1" x14ac:dyDescent="0.3">
      <c r="A307" s="249">
        <v>2</v>
      </c>
      <c r="B307" s="250" t="s">
        <v>1079</v>
      </c>
      <c r="C307" s="102" t="s">
        <v>1071</v>
      </c>
      <c r="D307" s="18" t="s">
        <v>286</v>
      </c>
      <c r="E307" s="102" t="s">
        <v>1080</v>
      </c>
      <c r="F307" s="18" t="s">
        <v>53</v>
      </c>
      <c r="G307" s="18" t="s">
        <v>54</v>
      </c>
      <c r="H307" s="25" t="s">
        <v>305</v>
      </c>
      <c r="I307" s="18" t="s">
        <v>56</v>
      </c>
      <c r="J307" s="18" t="s">
        <v>57</v>
      </c>
      <c r="K307" s="102">
        <v>801116</v>
      </c>
      <c r="L307" s="102" t="s">
        <v>1073</v>
      </c>
      <c r="M307" s="102" t="s">
        <v>1074</v>
      </c>
      <c r="N307" s="102" t="s">
        <v>1075</v>
      </c>
      <c r="O307" s="102" t="s">
        <v>1076</v>
      </c>
      <c r="P307" s="195" t="s">
        <v>1077</v>
      </c>
      <c r="Q307" s="202">
        <v>5948727.2727272725</v>
      </c>
      <c r="R307" s="18">
        <v>1</v>
      </c>
      <c r="S307" s="203">
        <f>37012000-3369935+940563</f>
        <v>34582628</v>
      </c>
      <c r="T307" s="204" t="s">
        <v>1078</v>
      </c>
      <c r="U307" s="18" t="s">
        <v>68</v>
      </c>
      <c r="V307" s="51">
        <v>43115</v>
      </c>
      <c r="W307" s="18">
        <v>11</v>
      </c>
      <c r="X307" s="18"/>
      <c r="Y307" s="51"/>
      <c r="Z307" s="110"/>
      <c r="AA307" s="110"/>
      <c r="AB307" s="18"/>
      <c r="AC307" s="18"/>
      <c r="AD307" s="18"/>
      <c r="AE307" s="18"/>
      <c r="AF307" s="18"/>
      <c r="AG307" s="18"/>
      <c r="AH307" s="201">
        <v>8611996.8330250606</v>
      </c>
      <c r="AI307" s="110"/>
      <c r="AJ307" s="18"/>
      <c r="AK307" s="18"/>
      <c r="AL307" s="18"/>
      <c r="AM307" s="201">
        <v>8276739.6976095438</v>
      </c>
      <c r="AN307" s="18"/>
      <c r="AO307" s="18"/>
      <c r="AP307" s="18"/>
      <c r="AQ307" s="18"/>
      <c r="AR307" s="18"/>
      <c r="AS307" s="18"/>
      <c r="AT307" s="18"/>
      <c r="AU307" s="79"/>
    </row>
    <row r="308" spans="1:47" ht="141.75" thickTop="1" thickBot="1" x14ac:dyDescent="0.3">
      <c r="A308" s="249">
        <v>3</v>
      </c>
      <c r="B308" s="250" t="s">
        <v>1081</v>
      </c>
      <c r="C308" s="102" t="s">
        <v>1071</v>
      </c>
      <c r="D308" s="18" t="s">
        <v>286</v>
      </c>
      <c r="E308" s="102" t="s">
        <v>1082</v>
      </c>
      <c r="F308" s="18" t="s">
        <v>53</v>
      </c>
      <c r="G308" s="18" t="s">
        <v>54</v>
      </c>
      <c r="H308" s="25" t="s">
        <v>305</v>
      </c>
      <c r="I308" s="18" t="s">
        <v>56</v>
      </c>
      <c r="J308" s="18" t="s">
        <v>57</v>
      </c>
      <c r="K308" s="102">
        <v>801116</v>
      </c>
      <c r="L308" s="102" t="s">
        <v>1073</v>
      </c>
      <c r="M308" s="102" t="s">
        <v>1074</v>
      </c>
      <c r="N308" s="102" t="s">
        <v>1075</v>
      </c>
      <c r="O308" s="102" t="s">
        <v>1076</v>
      </c>
      <c r="P308" s="195" t="s">
        <v>1077</v>
      </c>
      <c r="Q308" s="202">
        <v>55476363.636363633</v>
      </c>
      <c r="R308" s="18">
        <v>1</v>
      </c>
      <c r="S308" s="203">
        <v>610240000</v>
      </c>
      <c r="T308" s="204" t="s">
        <v>1078</v>
      </c>
      <c r="U308" s="18" t="s">
        <v>68</v>
      </c>
      <c r="V308" s="51">
        <v>43115</v>
      </c>
      <c r="W308" s="18">
        <v>11</v>
      </c>
      <c r="X308" s="40" t="s">
        <v>1083</v>
      </c>
      <c r="Y308" s="51">
        <v>43115</v>
      </c>
      <c r="Z308" s="110">
        <v>610240000</v>
      </c>
      <c r="AA308" s="110"/>
      <c r="AB308" s="18">
        <v>532</v>
      </c>
      <c r="AC308" s="51">
        <v>43124</v>
      </c>
      <c r="AD308" s="201">
        <v>610240000</v>
      </c>
      <c r="AE308" s="110"/>
      <c r="AF308" s="18" t="s">
        <v>1084</v>
      </c>
      <c r="AG308" s="51">
        <v>43124</v>
      </c>
      <c r="AH308" s="201">
        <v>151966037.61244556</v>
      </c>
      <c r="AI308" s="110" t="s">
        <v>861</v>
      </c>
      <c r="AJ308" s="18">
        <v>7</v>
      </c>
      <c r="AK308" s="18"/>
      <c r="AL308" s="201">
        <v>121346798.16170163</v>
      </c>
      <c r="AM308" s="201">
        <v>146050139.19327497</v>
      </c>
      <c r="AN308" s="201"/>
      <c r="AO308" s="18"/>
      <c r="AP308" s="18"/>
      <c r="AQ308" s="18"/>
      <c r="AR308" s="51">
        <v>43115</v>
      </c>
      <c r="AS308" s="18" t="s">
        <v>1085</v>
      </c>
      <c r="AT308" s="51">
        <v>43115</v>
      </c>
      <c r="AU308" s="79" t="s">
        <v>1086</v>
      </c>
    </row>
    <row r="309" spans="1:47" ht="141.75" thickTop="1" thickBot="1" x14ac:dyDescent="0.3">
      <c r="A309" s="249">
        <v>4</v>
      </c>
      <c r="B309" s="250" t="s">
        <v>1087</v>
      </c>
      <c r="C309" s="102" t="s">
        <v>1071</v>
      </c>
      <c r="D309" s="18" t="s">
        <v>286</v>
      </c>
      <c r="E309" s="102" t="s">
        <v>1082</v>
      </c>
      <c r="F309" s="18" t="s">
        <v>53</v>
      </c>
      <c r="G309" s="18" t="s">
        <v>54</v>
      </c>
      <c r="H309" s="25" t="s">
        <v>305</v>
      </c>
      <c r="I309" s="18" t="s">
        <v>56</v>
      </c>
      <c r="J309" s="18" t="s">
        <v>57</v>
      </c>
      <c r="K309" s="102">
        <v>801116</v>
      </c>
      <c r="L309" s="102" t="s">
        <v>1073</v>
      </c>
      <c r="M309" s="102" t="s">
        <v>1074</v>
      </c>
      <c r="N309" s="102" t="s">
        <v>1075</v>
      </c>
      <c r="O309" s="102" t="s">
        <v>1076</v>
      </c>
      <c r="P309" s="195" t="s">
        <v>1088</v>
      </c>
      <c r="Q309" s="202">
        <v>8240000</v>
      </c>
      <c r="R309" s="18">
        <v>1</v>
      </c>
      <c r="S309" s="203">
        <v>0</v>
      </c>
      <c r="T309" s="204" t="s">
        <v>900</v>
      </c>
      <c r="U309" s="18" t="s">
        <v>68</v>
      </c>
      <c r="V309" s="51">
        <v>43125</v>
      </c>
      <c r="W309" s="205">
        <v>11</v>
      </c>
      <c r="X309" s="206" t="s">
        <v>1089</v>
      </c>
      <c r="Y309" s="207">
        <v>43103</v>
      </c>
      <c r="Z309" s="208" t="s">
        <v>1090</v>
      </c>
      <c r="AA309" s="208" t="s">
        <v>1090</v>
      </c>
      <c r="AB309" s="208" t="s">
        <v>1090</v>
      </c>
      <c r="AC309" s="208" t="s">
        <v>1090</v>
      </c>
      <c r="AD309" s="208" t="s">
        <v>1090</v>
      </c>
      <c r="AE309" s="208" t="s">
        <v>1090</v>
      </c>
      <c r="AF309" s="18" t="s">
        <v>1090</v>
      </c>
      <c r="AG309" s="208" t="s">
        <v>1090</v>
      </c>
      <c r="AH309" s="209" t="s">
        <v>1090</v>
      </c>
      <c r="AI309" s="208" t="s">
        <v>1090</v>
      </c>
      <c r="AJ309" s="208" t="s">
        <v>1090</v>
      </c>
      <c r="AK309" s="208" t="s">
        <v>1090</v>
      </c>
      <c r="AL309" s="208"/>
      <c r="AM309" s="208" t="s">
        <v>1090</v>
      </c>
      <c r="AN309" s="208" t="s">
        <v>1090</v>
      </c>
      <c r="AO309" s="208" t="s">
        <v>1090</v>
      </c>
      <c r="AP309" s="208" t="s">
        <v>1090</v>
      </c>
      <c r="AQ309" s="210" t="s">
        <v>1091</v>
      </c>
      <c r="AR309" s="207">
        <v>43102</v>
      </c>
      <c r="AS309" s="210" t="s">
        <v>1085</v>
      </c>
      <c r="AT309" s="207">
        <v>43102</v>
      </c>
      <c r="AU309" s="87" t="s">
        <v>1092</v>
      </c>
    </row>
    <row r="310" spans="1:47" ht="141.75" thickTop="1" thickBot="1" x14ac:dyDescent="0.3">
      <c r="A310" s="249">
        <v>5</v>
      </c>
      <c r="B310" s="250" t="s">
        <v>1093</v>
      </c>
      <c r="C310" s="102" t="s">
        <v>1071</v>
      </c>
      <c r="D310" s="18" t="s">
        <v>286</v>
      </c>
      <c r="E310" s="102" t="s">
        <v>1082</v>
      </c>
      <c r="F310" s="18" t="s">
        <v>53</v>
      </c>
      <c r="G310" s="18" t="s">
        <v>54</v>
      </c>
      <c r="H310" s="25" t="s">
        <v>305</v>
      </c>
      <c r="I310" s="18" t="s">
        <v>56</v>
      </c>
      <c r="J310" s="18" t="s">
        <v>57</v>
      </c>
      <c r="K310" s="102">
        <v>801116</v>
      </c>
      <c r="L310" s="102" t="s">
        <v>1073</v>
      </c>
      <c r="M310" s="102" t="s">
        <v>1074</v>
      </c>
      <c r="N310" s="102" t="s">
        <v>1075</v>
      </c>
      <c r="O310" s="102" t="s">
        <v>1076</v>
      </c>
      <c r="P310" s="195" t="s">
        <v>1094</v>
      </c>
      <c r="Q310" s="202">
        <v>3399000</v>
      </c>
      <c r="R310" s="18">
        <v>1</v>
      </c>
      <c r="S310" s="203">
        <v>37389000</v>
      </c>
      <c r="T310" s="204" t="s">
        <v>900</v>
      </c>
      <c r="U310" s="18" t="s">
        <v>68</v>
      </c>
      <c r="V310" s="51">
        <v>43125</v>
      </c>
      <c r="W310" s="205">
        <v>11</v>
      </c>
      <c r="X310" s="40" t="s">
        <v>1095</v>
      </c>
      <c r="Y310" s="51">
        <v>43103</v>
      </c>
      <c r="Z310" s="201">
        <v>37389000</v>
      </c>
      <c r="AA310" s="110"/>
      <c r="AB310" s="18">
        <v>153</v>
      </c>
      <c r="AC310" s="51">
        <v>43103</v>
      </c>
      <c r="AD310" s="201">
        <v>37389000</v>
      </c>
      <c r="AE310" s="110"/>
      <c r="AF310" s="18">
        <v>30</v>
      </c>
      <c r="AG310" s="51">
        <v>43116</v>
      </c>
      <c r="AH310" s="211">
        <v>37389000</v>
      </c>
      <c r="AI310" s="110" t="s">
        <v>1096</v>
      </c>
      <c r="AJ310" s="18">
        <v>18</v>
      </c>
      <c r="AK310" s="18"/>
      <c r="AL310" s="201">
        <f>AH310</f>
        <v>37389000</v>
      </c>
      <c r="AM310" s="201">
        <v>8497500</v>
      </c>
      <c r="AN310" s="201">
        <f>AL310-AM310</f>
        <v>28891500</v>
      </c>
      <c r="AO310" s="18"/>
      <c r="AP310" s="18"/>
      <c r="AQ310" s="18"/>
      <c r="AR310" s="51">
        <v>43102</v>
      </c>
      <c r="AS310" s="18" t="s">
        <v>1085</v>
      </c>
      <c r="AT310" s="51">
        <v>43102</v>
      </c>
      <c r="AU310" s="79" t="s">
        <v>1092</v>
      </c>
    </row>
    <row r="311" spans="1:47" ht="141.75" thickTop="1" thickBot="1" x14ac:dyDescent="0.3">
      <c r="A311" s="249">
        <v>6</v>
      </c>
      <c r="B311" s="250" t="s">
        <v>1097</v>
      </c>
      <c r="C311" s="102" t="s">
        <v>1071</v>
      </c>
      <c r="D311" s="18" t="s">
        <v>286</v>
      </c>
      <c r="E311" s="102" t="s">
        <v>1082</v>
      </c>
      <c r="F311" s="18" t="s">
        <v>53</v>
      </c>
      <c r="G311" s="18" t="s">
        <v>54</v>
      </c>
      <c r="H311" s="25" t="s">
        <v>305</v>
      </c>
      <c r="I311" s="18" t="s">
        <v>56</v>
      </c>
      <c r="J311" s="18" t="s">
        <v>57</v>
      </c>
      <c r="K311" s="102">
        <v>801116</v>
      </c>
      <c r="L311" s="102" t="s">
        <v>1073</v>
      </c>
      <c r="M311" s="102" t="s">
        <v>1074</v>
      </c>
      <c r="N311" s="102" t="s">
        <v>1075</v>
      </c>
      <c r="O311" s="102" t="s">
        <v>1076</v>
      </c>
      <c r="P311" s="195" t="s">
        <v>1098</v>
      </c>
      <c r="Q311" s="202">
        <v>5036700</v>
      </c>
      <c r="R311" s="18">
        <v>1</v>
      </c>
      <c r="S311" s="203">
        <v>55403700</v>
      </c>
      <c r="T311" s="204" t="s">
        <v>900</v>
      </c>
      <c r="U311" s="18" t="s">
        <v>68</v>
      </c>
      <c r="V311" s="51">
        <v>43125</v>
      </c>
      <c r="W311" s="205">
        <v>11</v>
      </c>
      <c r="X311" s="40" t="s">
        <v>1099</v>
      </c>
      <c r="Y311" s="51">
        <v>43103</v>
      </c>
      <c r="Z311" s="201">
        <v>55403700</v>
      </c>
      <c r="AA311" s="110"/>
      <c r="AB311" s="18">
        <v>154</v>
      </c>
      <c r="AC311" s="51">
        <v>43105</v>
      </c>
      <c r="AD311" s="201">
        <v>55403700</v>
      </c>
      <c r="AE311" s="110"/>
      <c r="AF311" s="18">
        <v>29</v>
      </c>
      <c r="AG311" s="51">
        <v>43116</v>
      </c>
      <c r="AH311" s="211">
        <v>55403700</v>
      </c>
      <c r="AI311" s="110" t="s">
        <v>1100</v>
      </c>
      <c r="AJ311" s="18">
        <v>17</v>
      </c>
      <c r="AK311" s="18"/>
      <c r="AL311" s="201">
        <f t="shared" ref="AL311:AL313" si="44">AH311</f>
        <v>55403700</v>
      </c>
      <c r="AM311" s="201">
        <v>12591750</v>
      </c>
      <c r="AN311" s="201">
        <f>AL311-AM311</f>
        <v>42811950</v>
      </c>
      <c r="AO311" s="18"/>
      <c r="AP311" s="18"/>
      <c r="AQ311" s="18"/>
      <c r="AR311" s="51">
        <v>43102</v>
      </c>
      <c r="AS311" s="18" t="s">
        <v>1085</v>
      </c>
      <c r="AT311" s="51">
        <v>43102</v>
      </c>
      <c r="AU311" s="79" t="s">
        <v>1092</v>
      </c>
    </row>
    <row r="312" spans="1:47" ht="141.75" thickTop="1" thickBot="1" x14ac:dyDescent="0.3">
      <c r="A312" s="249">
        <v>7</v>
      </c>
      <c r="B312" s="250" t="s">
        <v>1101</v>
      </c>
      <c r="C312" s="102" t="s">
        <v>1071</v>
      </c>
      <c r="D312" s="18" t="s">
        <v>286</v>
      </c>
      <c r="E312" s="102" t="s">
        <v>1082</v>
      </c>
      <c r="F312" s="18" t="s">
        <v>53</v>
      </c>
      <c r="G312" s="18" t="s">
        <v>54</v>
      </c>
      <c r="H312" s="25" t="s">
        <v>305</v>
      </c>
      <c r="I312" s="18" t="s">
        <v>56</v>
      </c>
      <c r="J312" s="18" t="s">
        <v>57</v>
      </c>
      <c r="K312" s="102">
        <v>801116</v>
      </c>
      <c r="L312" s="102" t="s">
        <v>1073</v>
      </c>
      <c r="M312" s="102" t="s">
        <v>1074</v>
      </c>
      <c r="N312" s="102" t="s">
        <v>1075</v>
      </c>
      <c r="O312" s="102" t="s">
        <v>1076</v>
      </c>
      <c r="P312" s="195" t="s">
        <v>1102</v>
      </c>
      <c r="Q312" s="202">
        <v>3038500</v>
      </c>
      <c r="R312" s="18">
        <v>1</v>
      </c>
      <c r="S312" s="203">
        <v>33423500</v>
      </c>
      <c r="T312" s="204" t="s">
        <v>934</v>
      </c>
      <c r="U312" s="18" t="s">
        <v>68</v>
      </c>
      <c r="V312" s="51">
        <v>43125</v>
      </c>
      <c r="W312" s="205">
        <v>11</v>
      </c>
      <c r="X312" s="40" t="s">
        <v>1103</v>
      </c>
      <c r="Y312" s="51">
        <v>43103</v>
      </c>
      <c r="Z312" s="201">
        <v>33423500</v>
      </c>
      <c r="AA312" s="110"/>
      <c r="AB312" s="18">
        <v>155</v>
      </c>
      <c r="AC312" s="51">
        <v>43105</v>
      </c>
      <c r="AD312" s="201">
        <v>33423500</v>
      </c>
      <c r="AE312" s="110"/>
      <c r="AF312" s="18">
        <v>323</v>
      </c>
      <c r="AG312" s="51">
        <v>43123</v>
      </c>
      <c r="AH312" s="211">
        <v>33423500</v>
      </c>
      <c r="AI312" s="110" t="s">
        <v>1104</v>
      </c>
      <c r="AJ312" s="18">
        <v>284</v>
      </c>
      <c r="AK312" s="18"/>
      <c r="AL312" s="201">
        <f t="shared" si="44"/>
        <v>33423500</v>
      </c>
      <c r="AM312" s="201">
        <v>6785983</v>
      </c>
      <c r="AN312" s="201">
        <f>AL312-AM312</f>
        <v>26637517</v>
      </c>
      <c r="AO312" s="18"/>
      <c r="AP312" s="18"/>
      <c r="AQ312" s="18"/>
      <c r="AR312" s="51">
        <v>43102</v>
      </c>
      <c r="AS312" s="18" t="s">
        <v>1085</v>
      </c>
      <c r="AT312" s="51">
        <v>43102</v>
      </c>
      <c r="AU312" s="79" t="s">
        <v>1092</v>
      </c>
    </row>
    <row r="313" spans="1:47" ht="180" thickTop="1" thickBot="1" x14ac:dyDescent="0.3">
      <c r="A313" s="249">
        <v>8</v>
      </c>
      <c r="B313" s="250" t="s">
        <v>1105</v>
      </c>
      <c r="C313" s="102" t="s">
        <v>1071</v>
      </c>
      <c r="D313" s="18" t="s">
        <v>286</v>
      </c>
      <c r="E313" s="102" t="s">
        <v>1082</v>
      </c>
      <c r="F313" s="18" t="s">
        <v>53</v>
      </c>
      <c r="G313" s="18" t="s">
        <v>54</v>
      </c>
      <c r="H313" s="25" t="s">
        <v>305</v>
      </c>
      <c r="I313" s="18" t="s">
        <v>56</v>
      </c>
      <c r="J313" s="18" t="s">
        <v>57</v>
      </c>
      <c r="K313" s="102">
        <v>801116</v>
      </c>
      <c r="L313" s="102" t="s">
        <v>1073</v>
      </c>
      <c r="M313" s="102" t="s">
        <v>1074</v>
      </c>
      <c r="N313" s="102" t="s">
        <v>1075</v>
      </c>
      <c r="O313" s="102" t="s">
        <v>1076</v>
      </c>
      <c r="P313" s="195" t="s">
        <v>1106</v>
      </c>
      <c r="Q313" s="202">
        <v>3399000</v>
      </c>
      <c r="R313" s="18">
        <v>1</v>
      </c>
      <c r="S313" s="203">
        <v>37389000</v>
      </c>
      <c r="T313" s="204" t="s">
        <v>900</v>
      </c>
      <c r="U313" s="18" t="s">
        <v>68</v>
      </c>
      <c r="V313" s="51">
        <v>43125</v>
      </c>
      <c r="W313" s="205">
        <v>11</v>
      </c>
      <c r="X313" s="40" t="s">
        <v>1107</v>
      </c>
      <c r="Y313" s="51">
        <v>43103</v>
      </c>
      <c r="Z313" s="201">
        <v>37389000</v>
      </c>
      <c r="AA313" s="110"/>
      <c r="AB313" s="18">
        <v>156</v>
      </c>
      <c r="AC313" s="51">
        <v>43105</v>
      </c>
      <c r="AD313" s="201">
        <v>37389000</v>
      </c>
      <c r="AE313" s="110"/>
      <c r="AF313" s="18">
        <v>61</v>
      </c>
      <c r="AG313" s="51">
        <v>43116</v>
      </c>
      <c r="AH313" s="211">
        <v>37389000</v>
      </c>
      <c r="AI313" s="110" t="s">
        <v>1108</v>
      </c>
      <c r="AJ313" s="18">
        <v>26</v>
      </c>
      <c r="AK313" s="18"/>
      <c r="AL313" s="201">
        <f t="shared" si="44"/>
        <v>37389000</v>
      </c>
      <c r="AM313" s="201">
        <v>8497500</v>
      </c>
      <c r="AN313" s="201">
        <f>AL313-AM313</f>
        <v>28891500</v>
      </c>
      <c r="AO313" s="18"/>
      <c r="AP313" s="18"/>
      <c r="AQ313" s="18"/>
      <c r="AR313" s="51">
        <v>43102</v>
      </c>
      <c r="AS313" s="18" t="s">
        <v>1085</v>
      </c>
      <c r="AT313" s="51">
        <v>43102</v>
      </c>
      <c r="AU313" s="79" t="s">
        <v>1092</v>
      </c>
    </row>
    <row r="314" spans="1:47" ht="205.5" thickTop="1" thickBot="1" x14ac:dyDescent="0.3">
      <c r="A314" s="249">
        <v>9</v>
      </c>
      <c r="B314" s="250" t="s">
        <v>1109</v>
      </c>
      <c r="C314" s="102" t="s">
        <v>1071</v>
      </c>
      <c r="D314" s="18" t="s">
        <v>286</v>
      </c>
      <c r="E314" s="102" t="s">
        <v>1082</v>
      </c>
      <c r="F314" s="18" t="s">
        <v>53</v>
      </c>
      <c r="G314" s="18" t="s">
        <v>54</v>
      </c>
      <c r="H314" s="25" t="s">
        <v>305</v>
      </c>
      <c r="I314" s="18" t="s">
        <v>56</v>
      </c>
      <c r="J314" s="18" t="s">
        <v>57</v>
      </c>
      <c r="K314" s="102">
        <v>801116</v>
      </c>
      <c r="L314" s="102" t="s">
        <v>1073</v>
      </c>
      <c r="M314" s="102" t="s">
        <v>1074</v>
      </c>
      <c r="N314" s="102" t="s">
        <v>1075</v>
      </c>
      <c r="O314" s="102" t="s">
        <v>1076</v>
      </c>
      <c r="P314" s="195" t="s">
        <v>1110</v>
      </c>
      <c r="Q314" s="202">
        <v>5100000</v>
      </c>
      <c r="R314" s="18">
        <v>1</v>
      </c>
      <c r="S314" s="203">
        <v>25500000</v>
      </c>
      <c r="T314" s="204" t="s">
        <v>900</v>
      </c>
      <c r="U314" s="18" t="s">
        <v>68</v>
      </c>
      <c r="V314" s="51">
        <v>43125</v>
      </c>
      <c r="W314" s="205">
        <v>5</v>
      </c>
      <c r="X314" s="40" t="s">
        <v>1111</v>
      </c>
      <c r="Y314" s="51">
        <v>43103</v>
      </c>
      <c r="Z314" s="201">
        <v>25500000</v>
      </c>
      <c r="AA314" s="110"/>
      <c r="AB314" s="18">
        <v>157</v>
      </c>
      <c r="AC314" s="51">
        <v>43105</v>
      </c>
      <c r="AD314" s="201">
        <v>25500000</v>
      </c>
      <c r="AE314" s="18"/>
      <c r="AF314" s="18">
        <v>650</v>
      </c>
      <c r="AG314" s="51">
        <v>43133</v>
      </c>
      <c r="AH314" s="110">
        <v>25500000</v>
      </c>
      <c r="AI314" s="110" t="s">
        <v>1112</v>
      </c>
      <c r="AJ314" s="18">
        <v>348</v>
      </c>
      <c r="AK314" s="18"/>
      <c r="AL314" s="201">
        <v>25500000</v>
      </c>
      <c r="AM314" s="201">
        <v>9520000</v>
      </c>
      <c r="AN314" s="201">
        <f>+AL314-AM314</f>
        <v>15980000</v>
      </c>
      <c r="AO314" s="18"/>
      <c r="AP314" s="18"/>
      <c r="AQ314" s="18"/>
      <c r="AR314" s="51">
        <v>43102</v>
      </c>
      <c r="AS314" s="18" t="s">
        <v>1085</v>
      </c>
      <c r="AT314" s="51">
        <v>43102</v>
      </c>
      <c r="AU314" s="79" t="s">
        <v>1113</v>
      </c>
    </row>
    <row r="315" spans="1:47" ht="180" thickTop="1" thickBot="1" x14ac:dyDescent="0.3">
      <c r="A315" s="249">
        <v>10</v>
      </c>
      <c r="B315" s="250" t="s">
        <v>1114</v>
      </c>
      <c r="C315" s="102" t="s">
        <v>1071</v>
      </c>
      <c r="D315" s="18" t="s">
        <v>286</v>
      </c>
      <c r="E315" s="102" t="s">
        <v>1082</v>
      </c>
      <c r="F315" s="18" t="s">
        <v>53</v>
      </c>
      <c r="G315" s="18" t="s">
        <v>54</v>
      </c>
      <c r="H315" s="25" t="s">
        <v>305</v>
      </c>
      <c r="I315" s="18" t="s">
        <v>56</v>
      </c>
      <c r="J315" s="18" t="s">
        <v>57</v>
      </c>
      <c r="K315" s="102">
        <v>801116</v>
      </c>
      <c r="L315" s="102" t="s">
        <v>1073</v>
      </c>
      <c r="M315" s="102" t="s">
        <v>1074</v>
      </c>
      <c r="N315" s="102" t="s">
        <v>1075</v>
      </c>
      <c r="O315" s="102" t="s">
        <v>1076</v>
      </c>
      <c r="P315" s="195" t="s">
        <v>1106</v>
      </c>
      <c r="Q315" s="202">
        <v>5253000</v>
      </c>
      <c r="R315" s="18">
        <v>1</v>
      </c>
      <c r="S315" s="203">
        <v>26265000</v>
      </c>
      <c r="T315" s="204" t="s">
        <v>900</v>
      </c>
      <c r="U315" s="18" t="s">
        <v>68</v>
      </c>
      <c r="V315" s="51">
        <v>43125</v>
      </c>
      <c r="W315" s="205">
        <v>5</v>
      </c>
      <c r="X315" s="40" t="s">
        <v>1115</v>
      </c>
      <c r="Y315" s="51">
        <v>43103</v>
      </c>
      <c r="Z315" s="201">
        <v>26265000</v>
      </c>
      <c r="AA315" s="110"/>
      <c r="AB315" s="18">
        <v>158</v>
      </c>
      <c r="AC315" s="51">
        <v>43105</v>
      </c>
      <c r="AD315" s="201">
        <v>26265000</v>
      </c>
      <c r="AE315" s="18"/>
      <c r="AF315" s="18">
        <v>156</v>
      </c>
      <c r="AG315" s="51">
        <v>43118</v>
      </c>
      <c r="AH315" s="211"/>
      <c r="AI315" s="110" t="s">
        <v>1112</v>
      </c>
      <c r="AJ315" s="18">
        <v>128</v>
      </c>
      <c r="AK315" s="18"/>
      <c r="AL315" s="201">
        <v>37389000</v>
      </c>
      <c r="AM315" s="201"/>
      <c r="AN315" s="201"/>
      <c r="AO315" s="18"/>
      <c r="AP315" s="18"/>
      <c r="AQ315" s="18"/>
      <c r="AR315" s="51">
        <v>43102</v>
      </c>
      <c r="AS315" s="18" t="s">
        <v>1085</v>
      </c>
      <c r="AT315" s="51">
        <v>43102</v>
      </c>
      <c r="AU315" s="79" t="s">
        <v>1092</v>
      </c>
    </row>
    <row r="316" spans="1:47" ht="180" thickTop="1" thickBot="1" x14ac:dyDescent="0.3">
      <c r="A316" s="249">
        <v>11</v>
      </c>
      <c r="B316" s="250" t="s">
        <v>1116</v>
      </c>
      <c r="C316" s="102" t="s">
        <v>1071</v>
      </c>
      <c r="D316" s="18" t="s">
        <v>286</v>
      </c>
      <c r="E316" s="102" t="s">
        <v>1082</v>
      </c>
      <c r="F316" s="18" t="s">
        <v>53</v>
      </c>
      <c r="G316" s="18" t="s">
        <v>54</v>
      </c>
      <c r="H316" s="25" t="s">
        <v>305</v>
      </c>
      <c r="I316" s="18" t="s">
        <v>56</v>
      </c>
      <c r="J316" s="18" t="s">
        <v>57</v>
      </c>
      <c r="K316" s="102">
        <v>801116</v>
      </c>
      <c r="L316" s="102" t="s">
        <v>1073</v>
      </c>
      <c r="M316" s="102" t="s">
        <v>1074</v>
      </c>
      <c r="N316" s="102" t="s">
        <v>1075</v>
      </c>
      <c r="O316" s="102" t="s">
        <v>1076</v>
      </c>
      <c r="P316" s="195" t="s">
        <v>1106</v>
      </c>
      <c r="Q316" s="202">
        <v>3399000</v>
      </c>
      <c r="R316" s="18">
        <v>1</v>
      </c>
      <c r="S316" s="203">
        <v>37389000</v>
      </c>
      <c r="T316" s="204" t="s">
        <v>900</v>
      </c>
      <c r="U316" s="18" t="s">
        <v>68</v>
      </c>
      <c r="V316" s="51">
        <v>43125</v>
      </c>
      <c r="W316" s="205">
        <v>11</v>
      </c>
      <c r="X316" s="40" t="s">
        <v>1117</v>
      </c>
      <c r="Y316" s="51">
        <v>43103</v>
      </c>
      <c r="Z316" s="201">
        <v>37389000</v>
      </c>
      <c r="AA316" s="110"/>
      <c r="AB316" s="18">
        <v>159</v>
      </c>
      <c r="AC316" s="51">
        <v>43105</v>
      </c>
      <c r="AD316" s="201">
        <v>37389000</v>
      </c>
      <c r="AE316" s="18"/>
      <c r="AF316" s="18">
        <v>156</v>
      </c>
      <c r="AG316" s="51">
        <v>43118</v>
      </c>
      <c r="AH316" s="211">
        <v>37389000</v>
      </c>
      <c r="AI316" s="110" t="s">
        <v>1118</v>
      </c>
      <c r="AJ316" s="18">
        <v>148</v>
      </c>
      <c r="AK316" s="18"/>
      <c r="AL316" s="201"/>
      <c r="AM316" s="201">
        <v>8270900</v>
      </c>
      <c r="AN316" s="201">
        <v>32517100</v>
      </c>
      <c r="AO316" s="18"/>
      <c r="AP316" s="18"/>
      <c r="AQ316" s="18"/>
      <c r="AR316" s="51">
        <v>43102</v>
      </c>
      <c r="AS316" s="18" t="s">
        <v>1085</v>
      </c>
      <c r="AT316" s="51">
        <v>43102</v>
      </c>
      <c r="AU316" s="79" t="s">
        <v>1092</v>
      </c>
    </row>
    <row r="317" spans="1:47" ht="167.25" thickTop="1" thickBot="1" x14ac:dyDescent="0.3">
      <c r="A317" s="249">
        <v>12</v>
      </c>
      <c r="B317" s="250" t="s">
        <v>1119</v>
      </c>
      <c r="C317" s="102" t="s">
        <v>1071</v>
      </c>
      <c r="D317" s="18" t="s">
        <v>286</v>
      </c>
      <c r="E317" s="102" t="s">
        <v>1082</v>
      </c>
      <c r="F317" s="18" t="s">
        <v>53</v>
      </c>
      <c r="G317" s="18" t="s">
        <v>54</v>
      </c>
      <c r="H317" s="25" t="s">
        <v>305</v>
      </c>
      <c r="I317" s="18" t="s">
        <v>56</v>
      </c>
      <c r="J317" s="18" t="s">
        <v>57</v>
      </c>
      <c r="K317" s="102">
        <v>801116</v>
      </c>
      <c r="L317" s="102" t="s">
        <v>1073</v>
      </c>
      <c r="M317" s="102" t="s">
        <v>1074</v>
      </c>
      <c r="N317" s="102" t="s">
        <v>1075</v>
      </c>
      <c r="O317" s="102" t="s">
        <v>1076</v>
      </c>
      <c r="P317" s="195" t="s">
        <v>1120</v>
      </c>
      <c r="Q317" s="202">
        <v>3038500</v>
      </c>
      <c r="R317" s="18">
        <v>1</v>
      </c>
      <c r="S317" s="203">
        <v>33423500</v>
      </c>
      <c r="T317" s="204" t="s">
        <v>900</v>
      </c>
      <c r="U317" s="18" t="s">
        <v>68</v>
      </c>
      <c r="V317" s="51">
        <v>43125</v>
      </c>
      <c r="W317" s="205">
        <v>11</v>
      </c>
      <c r="X317" s="40" t="s">
        <v>1121</v>
      </c>
      <c r="Y317" s="51">
        <v>43103</v>
      </c>
      <c r="Z317" s="201">
        <v>33423500</v>
      </c>
      <c r="AA317" s="110"/>
      <c r="AB317" s="18">
        <v>160</v>
      </c>
      <c r="AC317" s="51">
        <v>43105</v>
      </c>
      <c r="AD317" s="201">
        <v>33423500</v>
      </c>
      <c r="AE317" s="18"/>
      <c r="AF317" s="18">
        <v>31</v>
      </c>
      <c r="AG317" s="51">
        <v>43116</v>
      </c>
      <c r="AH317" s="211">
        <v>33423500</v>
      </c>
      <c r="AI317" s="110" t="s">
        <v>1122</v>
      </c>
      <c r="AJ317" s="18">
        <v>16</v>
      </c>
      <c r="AK317" s="18"/>
      <c r="AL317" s="201">
        <f t="shared" ref="AL317:AL326" si="45">AH317</f>
        <v>33423500</v>
      </c>
      <c r="AM317" s="201">
        <v>7596250</v>
      </c>
      <c r="AN317" s="201">
        <f t="shared" ref="AN317:AN326" si="46">AL317-AM317</f>
        <v>25827250</v>
      </c>
      <c r="AO317" s="18"/>
      <c r="AP317" s="18"/>
      <c r="AQ317" s="18"/>
      <c r="AR317" s="51">
        <v>43102</v>
      </c>
      <c r="AS317" s="18" t="s">
        <v>1085</v>
      </c>
      <c r="AT317" s="51">
        <v>43102</v>
      </c>
      <c r="AU317" s="79" t="s">
        <v>1092</v>
      </c>
    </row>
    <row r="318" spans="1:47" ht="167.25" thickTop="1" thickBot="1" x14ac:dyDescent="0.3">
      <c r="A318" s="249">
        <v>13</v>
      </c>
      <c r="B318" s="250" t="s">
        <v>1123</v>
      </c>
      <c r="C318" s="102" t="s">
        <v>1071</v>
      </c>
      <c r="D318" s="18" t="s">
        <v>286</v>
      </c>
      <c r="E318" s="102" t="s">
        <v>1082</v>
      </c>
      <c r="F318" s="18" t="s">
        <v>53</v>
      </c>
      <c r="G318" s="18" t="s">
        <v>54</v>
      </c>
      <c r="H318" s="25" t="s">
        <v>305</v>
      </c>
      <c r="I318" s="18" t="s">
        <v>56</v>
      </c>
      <c r="J318" s="18" t="s">
        <v>57</v>
      </c>
      <c r="K318" s="102">
        <v>801116</v>
      </c>
      <c r="L318" s="102" t="s">
        <v>1073</v>
      </c>
      <c r="M318" s="102" t="s">
        <v>1074</v>
      </c>
      <c r="N318" s="102" t="s">
        <v>1075</v>
      </c>
      <c r="O318" s="102" t="s">
        <v>1076</v>
      </c>
      <c r="P318" s="195" t="s">
        <v>1124</v>
      </c>
      <c r="Q318" s="202">
        <v>3038500</v>
      </c>
      <c r="R318" s="18">
        <v>1</v>
      </c>
      <c r="S318" s="203">
        <v>33423500</v>
      </c>
      <c r="T318" s="204" t="s">
        <v>934</v>
      </c>
      <c r="U318" s="18" t="s">
        <v>68</v>
      </c>
      <c r="V318" s="51">
        <v>43125</v>
      </c>
      <c r="W318" s="205">
        <v>11</v>
      </c>
      <c r="X318" s="40" t="s">
        <v>1125</v>
      </c>
      <c r="Y318" s="51">
        <v>43103</v>
      </c>
      <c r="Z318" s="201">
        <v>33423500</v>
      </c>
      <c r="AA318" s="110"/>
      <c r="AB318" s="18">
        <v>161</v>
      </c>
      <c r="AC318" s="51">
        <v>43105</v>
      </c>
      <c r="AD318" s="201">
        <v>33423500</v>
      </c>
      <c r="AE318" s="18"/>
      <c r="AF318" s="18">
        <v>416</v>
      </c>
      <c r="AG318" s="51">
        <v>43124</v>
      </c>
      <c r="AH318" s="211">
        <v>33423500</v>
      </c>
      <c r="AI318" s="110" t="s">
        <v>1126</v>
      </c>
      <c r="AJ318" s="18">
        <v>337</v>
      </c>
      <c r="AK318" s="18"/>
      <c r="AL318" s="201">
        <f t="shared" si="45"/>
        <v>33423500</v>
      </c>
      <c r="AM318" s="201">
        <v>6684700</v>
      </c>
      <c r="AN318" s="201">
        <f t="shared" si="46"/>
        <v>26738800</v>
      </c>
      <c r="AO318" s="18"/>
      <c r="AP318" s="18"/>
      <c r="AQ318" s="18"/>
      <c r="AR318" s="51">
        <v>43102</v>
      </c>
      <c r="AS318" s="18" t="s">
        <v>1085</v>
      </c>
      <c r="AT318" s="51">
        <v>43102</v>
      </c>
      <c r="AU318" s="79" t="s">
        <v>1092</v>
      </c>
    </row>
    <row r="319" spans="1:47" ht="167.25" thickTop="1" thickBot="1" x14ac:dyDescent="0.3">
      <c r="A319" s="249">
        <v>14</v>
      </c>
      <c r="B319" s="250" t="s">
        <v>1127</v>
      </c>
      <c r="C319" s="102" t="s">
        <v>1071</v>
      </c>
      <c r="D319" s="18" t="s">
        <v>286</v>
      </c>
      <c r="E319" s="102" t="s">
        <v>1082</v>
      </c>
      <c r="F319" s="18" t="s">
        <v>53</v>
      </c>
      <c r="G319" s="18" t="s">
        <v>54</v>
      </c>
      <c r="H319" s="25" t="s">
        <v>305</v>
      </c>
      <c r="I319" s="18" t="s">
        <v>56</v>
      </c>
      <c r="J319" s="18" t="s">
        <v>57</v>
      </c>
      <c r="K319" s="102">
        <v>801116</v>
      </c>
      <c r="L319" s="102" t="s">
        <v>1073</v>
      </c>
      <c r="M319" s="102" t="s">
        <v>1074</v>
      </c>
      <c r="N319" s="102" t="s">
        <v>1075</v>
      </c>
      <c r="O319" s="102" t="s">
        <v>1076</v>
      </c>
      <c r="P319" s="195" t="s">
        <v>1124</v>
      </c>
      <c r="Q319" s="202">
        <v>3038500</v>
      </c>
      <c r="R319" s="18">
        <v>1</v>
      </c>
      <c r="S319" s="203">
        <v>33423500</v>
      </c>
      <c r="T319" s="204" t="s">
        <v>934</v>
      </c>
      <c r="U319" s="18" t="s">
        <v>68</v>
      </c>
      <c r="V319" s="51">
        <v>43125</v>
      </c>
      <c r="W319" s="205">
        <v>11</v>
      </c>
      <c r="X319" s="40" t="s">
        <v>1128</v>
      </c>
      <c r="Y319" s="51">
        <v>43103</v>
      </c>
      <c r="Z319" s="201">
        <v>33423500</v>
      </c>
      <c r="AA319" s="110"/>
      <c r="AB319" s="18">
        <v>162</v>
      </c>
      <c r="AC319" s="51">
        <v>43105</v>
      </c>
      <c r="AD319" s="201">
        <v>33423500</v>
      </c>
      <c r="AE319" s="18"/>
      <c r="AF319" s="18">
        <v>211</v>
      </c>
      <c r="AG319" s="51">
        <v>43118</v>
      </c>
      <c r="AH319" s="211">
        <v>33423500</v>
      </c>
      <c r="AI319" s="110" t="s">
        <v>1129</v>
      </c>
      <c r="AJ319" s="18">
        <v>188</v>
      </c>
      <c r="AK319" s="18"/>
      <c r="AL319" s="201">
        <f t="shared" si="45"/>
        <v>33423500</v>
      </c>
      <c r="AM319" s="201">
        <v>7292400</v>
      </c>
      <c r="AN319" s="201">
        <f t="shared" si="46"/>
        <v>26131100</v>
      </c>
      <c r="AO319" s="18"/>
      <c r="AP319" s="18"/>
      <c r="AQ319" s="18"/>
      <c r="AR319" s="51">
        <v>43102</v>
      </c>
      <c r="AS319" s="18" t="s">
        <v>1085</v>
      </c>
      <c r="AT319" s="51">
        <v>43102</v>
      </c>
      <c r="AU319" s="79" t="s">
        <v>1092</v>
      </c>
    </row>
    <row r="320" spans="1:47" ht="141.75" thickTop="1" thickBot="1" x14ac:dyDescent="0.3">
      <c r="A320" s="249">
        <v>15</v>
      </c>
      <c r="B320" s="250" t="s">
        <v>1130</v>
      </c>
      <c r="C320" s="102" t="s">
        <v>1071</v>
      </c>
      <c r="D320" s="18" t="s">
        <v>286</v>
      </c>
      <c r="E320" s="102" t="s">
        <v>1082</v>
      </c>
      <c r="F320" s="18" t="s">
        <v>53</v>
      </c>
      <c r="G320" s="18" t="s">
        <v>54</v>
      </c>
      <c r="H320" s="25" t="s">
        <v>305</v>
      </c>
      <c r="I320" s="18" t="s">
        <v>56</v>
      </c>
      <c r="J320" s="18" t="s">
        <v>57</v>
      </c>
      <c r="K320" s="102">
        <v>801116</v>
      </c>
      <c r="L320" s="102" t="s">
        <v>1073</v>
      </c>
      <c r="M320" s="102" t="s">
        <v>1074</v>
      </c>
      <c r="N320" s="102" t="s">
        <v>1075</v>
      </c>
      <c r="O320" s="102" t="s">
        <v>1076</v>
      </c>
      <c r="P320" s="195" t="s">
        <v>1131</v>
      </c>
      <c r="Q320" s="202">
        <v>4120000</v>
      </c>
      <c r="R320" s="18">
        <v>1</v>
      </c>
      <c r="S320" s="203">
        <v>45320000</v>
      </c>
      <c r="T320" s="204" t="s">
        <v>900</v>
      </c>
      <c r="U320" s="18" t="s">
        <v>68</v>
      </c>
      <c r="V320" s="51">
        <v>43125</v>
      </c>
      <c r="W320" s="205">
        <v>11</v>
      </c>
      <c r="X320" s="40" t="s">
        <v>1132</v>
      </c>
      <c r="Y320" s="51">
        <v>43103</v>
      </c>
      <c r="Z320" s="201">
        <v>45320000</v>
      </c>
      <c r="AA320" s="110"/>
      <c r="AB320" s="18">
        <v>163</v>
      </c>
      <c r="AC320" s="51">
        <v>43105</v>
      </c>
      <c r="AD320" s="201">
        <v>45320000</v>
      </c>
      <c r="AE320" s="18"/>
      <c r="AF320" s="18">
        <v>137</v>
      </c>
      <c r="AG320" s="51">
        <v>43117</v>
      </c>
      <c r="AH320" s="211">
        <v>45320000</v>
      </c>
      <c r="AI320" s="110" t="s">
        <v>1133</v>
      </c>
      <c r="AJ320" s="18">
        <v>145</v>
      </c>
      <c r="AK320" s="18"/>
      <c r="AL320" s="201">
        <f t="shared" si="45"/>
        <v>45320000</v>
      </c>
      <c r="AM320" s="201">
        <v>10025333</v>
      </c>
      <c r="AN320" s="201">
        <f t="shared" si="46"/>
        <v>35294667</v>
      </c>
      <c r="AO320" s="18"/>
      <c r="AP320" s="18"/>
      <c r="AQ320" s="18"/>
      <c r="AR320" s="51">
        <v>43102</v>
      </c>
      <c r="AS320" s="18" t="s">
        <v>1085</v>
      </c>
      <c r="AT320" s="51">
        <v>43102</v>
      </c>
      <c r="AU320" s="79" t="s">
        <v>1092</v>
      </c>
    </row>
    <row r="321" spans="1:47" ht="141.75" thickTop="1" thickBot="1" x14ac:dyDescent="0.3">
      <c r="A321" s="249">
        <v>16</v>
      </c>
      <c r="B321" s="250" t="s">
        <v>1134</v>
      </c>
      <c r="C321" s="102" t="s">
        <v>1071</v>
      </c>
      <c r="D321" s="18" t="s">
        <v>286</v>
      </c>
      <c r="E321" s="102" t="s">
        <v>1082</v>
      </c>
      <c r="F321" s="18" t="s">
        <v>53</v>
      </c>
      <c r="G321" s="18" t="s">
        <v>54</v>
      </c>
      <c r="H321" s="25" t="s">
        <v>305</v>
      </c>
      <c r="I321" s="18" t="s">
        <v>56</v>
      </c>
      <c r="J321" s="18" t="s">
        <v>57</v>
      </c>
      <c r="K321" s="102">
        <v>801116</v>
      </c>
      <c r="L321" s="102" t="s">
        <v>1073</v>
      </c>
      <c r="M321" s="102" t="s">
        <v>1074</v>
      </c>
      <c r="N321" s="102" t="s">
        <v>1075</v>
      </c>
      <c r="O321" s="102" t="s">
        <v>1076</v>
      </c>
      <c r="P321" s="195" t="s">
        <v>1135</v>
      </c>
      <c r="Q321" s="202">
        <v>3399000</v>
      </c>
      <c r="R321" s="18">
        <v>1</v>
      </c>
      <c r="S321" s="203">
        <v>37389000</v>
      </c>
      <c r="T321" s="204" t="s">
        <v>900</v>
      </c>
      <c r="U321" s="18" t="s">
        <v>68</v>
      </c>
      <c r="V321" s="51">
        <v>43125</v>
      </c>
      <c r="W321" s="205">
        <v>11</v>
      </c>
      <c r="X321" s="40" t="s">
        <v>1136</v>
      </c>
      <c r="Y321" s="51">
        <v>43103</v>
      </c>
      <c r="Z321" s="201">
        <v>37389000</v>
      </c>
      <c r="AA321" s="110"/>
      <c r="AB321" s="18">
        <v>164</v>
      </c>
      <c r="AC321" s="51">
        <v>43105</v>
      </c>
      <c r="AD321" s="201">
        <v>37389000</v>
      </c>
      <c r="AE321" s="18"/>
      <c r="AF321" s="18">
        <v>28</v>
      </c>
      <c r="AG321" s="51">
        <v>43116</v>
      </c>
      <c r="AH321" s="211">
        <v>37389000</v>
      </c>
      <c r="AI321" s="110" t="s">
        <v>1137</v>
      </c>
      <c r="AJ321" s="18">
        <v>15</v>
      </c>
      <c r="AK321" s="18"/>
      <c r="AL321" s="201">
        <f t="shared" si="45"/>
        <v>37389000</v>
      </c>
      <c r="AM321" s="201">
        <v>8497500</v>
      </c>
      <c r="AN321" s="201">
        <f t="shared" si="46"/>
        <v>28891500</v>
      </c>
      <c r="AO321" s="18"/>
      <c r="AP321" s="18"/>
      <c r="AQ321" s="18"/>
      <c r="AR321" s="51">
        <v>43102</v>
      </c>
      <c r="AS321" s="18" t="s">
        <v>1085</v>
      </c>
      <c r="AT321" s="51">
        <v>43102</v>
      </c>
      <c r="AU321" s="79" t="s">
        <v>1092</v>
      </c>
    </row>
    <row r="322" spans="1:47" ht="141.75" thickTop="1" thickBot="1" x14ac:dyDescent="0.3">
      <c r="A322" s="249">
        <v>17</v>
      </c>
      <c r="B322" s="250" t="s">
        <v>1138</v>
      </c>
      <c r="C322" s="102" t="s">
        <v>1071</v>
      </c>
      <c r="D322" s="18" t="s">
        <v>286</v>
      </c>
      <c r="E322" s="102" t="s">
        <v>1082</v>
      </c>
      <c r="F322" s="18" t="s">
        <v>53</v>
      </c>
      <c r="G322" s="18" t="s">
        <v>54</v>
      </c>
      <c r="H322" s="25" t="s">
        <v>305</v>
      </c>
      <c r="I322" s="18" t="s">
        <v>56</v>
      </c>
      <c r="J322" s="18" t="s">
        <v>57</v>
      </c>
      <c r="K322" s="102">
        <v>801116</v>
      </c>
      <c r="L322" s="102" t="s">
        <v>1073</v>
      </c>
      <c r="M322" s="102" t="s">
        <v>1074</v>
      </c>
      <c r="N322" s="102" t="s">
        <v>1075</v>
      </c>
      <c r="O322" s="102" t="s">
        <v>1076</v>
      </c>
      <c r="P322" s="195" t="s">
        <v>1131</v>
      </c>
      <c r="Q322" s="202">
        <v>4120000</v>
      </c>
      <c r="R322" s="18">
        <v>1</v>
      </c>
      <c r="S322" s="203">
        <v>45320000</v>
      </c>
      <c r="T322" s="204" t="s">
        <v>900</v>
      </c>
      <c r="U322" s="18" t="s">
        <v>68</v>
      </c>
      <c r="V322" s="51">
        <v>43125</v>
      </c>
      <c r="W322" s="205">
        <v>11</v>
      </c>
      <c r="X322" s="40" t="s">
        <v>1139</v>
      </c>
      <c r="Y322" s="51">
        <v>43103</v>
      </c>
      <c r="Z322" s="201">
        <v>45320000</v>
      </c>
      <c r="AA322" s="110"/>
      <c r="AB322" s="18">
        <v>165</v>
      </c>
      <c r="AC322" s="51">
        <v>43105</v>
      </c>
      <c r="AD322" s="201">
        <v>45320000</v>
      </c>
      <c r="AE322" s="18"/>
      <c r="AF322" s="18">
        <v>200</v>
      </c>
      <c r="AG322" s="51">
        <v>43118</v>
      </c>
      <c r="AH322" s="211">
        <v>45320000</v>
      </c>
      <c r="AI322" s="110" t="s">
        <v>1140</v>
      </c>
      <c r="AJ322" s="18">
        <v>189</v>
      </c>
      <c r="AK322" s="18"/>
      <c r="AL322" s="201">
        <f t="shared" si="45"/>
        <v>45320000</v>
      </c>
      <c r="AM322" s="201">
        <v>9888000</v>
      </c>
      <c r="AN322" s="201">
        <f t="shared" si="46"/>
        <v>35432000</v>
      </c>
      <c r="AO322" s="18"/>
      <c r="AP322" s="18"/>
      <c r="AQ322" s="18"/>
      <c r="AR322" s="51">
        <v>43102</v>
      </c>
      <c r="AS322" s="18" t="s">
        <v>1085</v>
      </c>
      <c r="AT322" s="51">
        <v>43102</v>
      </c>
      <c r="AU322" s="79" t="s">
        <v>1092</v>
      </c>
    </row>
    <row r="323" spans="1:47" ht="141.75" thickTop="1" thickBot="1" x14ac:dyDescent="0.3">
      <c r="A323" s="249">
        <v>18</v>
      </c>
      <c r="B323" s="250" t="s">
        <v>1141</v>
      </c>
      <c r="C323" s="102" t="s">
        <v>1071</v>
      </c>
      <c r="D323" s="18" t="s">
        <v>286</v>
      </c>
      <c r="E323" s="102" t="s">
        <v>1082</v>
      </c>
      <c r="F323" s="18" t="s">
        <v>53</v>
      </c>
      <c r="G323" s="18" t="s">
        <v>54</v>
      </c>
      <c r="H323" s="25" t="s">
        <v>305</v>
      </c>
      <c r="I323" s="18" t="s">
        <v>56</v>
      </c>
      <c r="J323" s="18" t="s">
        <v>57</v>
      </c>
      <c r="K323" s="102">
        <v>801116</v>
      </c>
      <c r="L323" s="102" t="s">
        <v>1073</v>
      </c>
      <c r="M323" s="102" t="s">
        <v>1074</v>
      </c>
      <c r="N323" s="102" t="s">
        <v>1075</v>
      </c>
      <c r="O323" s="102" t="s">
        <v>1076</v>
      </c>
      <c r="P323" s="195" t="s">
        <v>1142</v>
      </c>
      <c r="Q323" s="202">
        <v>6180000</v>
      </c>
      <c r="R323" s="18">
        <v>1</v>
      </c>
      <c r="S323" s="203">
        <v>67980000</v>
      </c>
      <c r="T323" s="204" t="s">
        <v>900</v>
      </c>
      <c r="U323" s="18" t="s">
        <v>68</v>
      </c>
      <c r="V323" s="51">
        <v>43125</v>
      </c>
      <c r="W323" s="205">
        <v>11</v>
      </c>
      <c r="X323" s="40" t="s">
        <v>1143</v>
      </c>
      <c r="Y323" s="51">
        <v>43103</v>
      </c>
      <c r="Z323" s="201">
        <v>67980000</v>
      </c>
      <c r="AA323" s="110"/>
      <c r="AB323" s="18">
        <v>166</v>
      </c>
      <c r="AC323" s="51">
        <v>43105</v>
      </c>
      <c r="AD323" s="201">
        <v>67980000</v>
      </c>
      <c r="AE323" s="18"/>
      <c r="AF323" s="18">
        <v>266</v>
      </c>
      <c r="AG323" s="51">
        <v>43119</v>
      </c>
      <c r="AH323" s="211">
        <v>67980000</v>
      </c>
      <c r="AI323" s="110" t="s">
        <v>1144</v>
      </c>
      <c r="AJ323" s="18">
        <v>236</v>
      </c>
      <c r="AK323" s="18"/>
      <c r="AL323" s="201">
        <f t="shared" si="45"/>
        <v>67980000</v>
      </c>
      <c r="AM323" s="201">
        <v>14008000</v>
      </c>
      <c r="AN323" s="201">
        <f t="shared" si="46"/>
        <v>53972000</v>
      </c>
      <c r="AO323" s="18"/>
      <c r="AP323" s="18"/>
      <c r="AQ323" s="18"/>
      <c r="AR323" s="51">
        <v>43102</v>
      </c>
      <c r="AS323" s="18" t="s">
        <v>1085</v>
      </c>
      <c r="AT323" s="51">
        <v>43102</v>
      </c>
      <c r="AU323" s="79" t="s">
        <v>1092</v>
      </c>
    </row>
    <row r="324" spans="1:47" ht="141.75" thickTop="1" thickBot="1" x14ac:dyDescent="0.3">
      <c r="A324" s="249">
        <v>19</v>
      </c>
      <c r="B324" s="250" t="s">
        <v>1145</v>
      </c>
      <c r="C324" s="102" t="s">
        <v>1071</v>
      </c>
      <c r="D324" s="18" t="s">
        <v>286</v>
      </c>
      <c r="E324" s="102" t="s">
        <v>1082</v>
      </c>
      <c r="F324" s="18" t="s">
        <v>53</v>
      </c>
      <c r="G324" s="18" t="s">
        <v>54</v>
      </c>
      <c r="H324" s="25" t="s">
        <v>305</v>
      </c>
      <c r="I324" s="18" t="s">
        <v>56</v>
      </c>
      <c r="J324" s="18" t="s">
        <v>57</v>
      </c>
      <c r="K324" s="102">
        <v>801116</v>
      </c>
      <c r="L324" s="102" t="s">
        <v>1073</v>
      </c>
      <c r="M324" s="102" t="s">
        <v>1074</v>
      </c>
      <c r="N324" s="102" t="s">
        <v>1075</v>
      </c>
      <c r="O324" s="102" t="s">
        <v>1076</v>
      </c>
      <c r="P324" s="195" t="s">
        <v>1146</v>
      </c>
      <c r="Q324" s="202">
        <v>2472000</v>
      </c>
      <c r="R324" s="18">
        <v>1</v>
      </c>
      <c r="S324" s="203">
        <v>27192000</v>
      </c>
      <c r="T324" s="204" t="s">
        <v>900</v>
      </c>
      <c r="U324" s="18" t="s">
        <v>68</v>
      </c>
      <c r="V324" s="51">
        <v>43125</v>
      </c>
      <c r="W324" s="205">
        <v>11</v>
      </c>
      <c r="X324" s="40" t="s">
        <v>1147</v>
      </c>
      <c r="Y324" s="51">
        <v>43103</v>
      </c>
      <c r="Z324" s="201">
        <v>27192000</v>
      </c>
      <c r="AA324" s="110"/>
      <c r="AB324" s="18">
        <v>167</v>
      </c>
      <c r="AC324" s="51">
        <v>43105</v>
      </c>
      <c r="AD324" s="201">
        <v>27192000</v>
      </c>
      <c r="AE324" s="18"/>
      <c r="AF324" s="18">
        <v>63</v>
      </c>
      <c r="AG324" s="51">
        <v>43116</v>
      </c>
      <c r="AH324" s="211">
        <v>27192000</v>
      </c>
      <c r="AI324" s="110" t="s">
        <v>1148</v>
      </c>
      <c r="AJ324" s="18">
        <v>28</v>
      </c>
      <c r="AK324" s="18"/>
      <c r="AL324" s="201">
        <f t="shared" si="45"/>
        <v>27192000</v>
      </c>
      <c r="AM324" s="201">
        <v>6180000</v>
      </c>
      <c r="AN324" s="201">
        <f t="shared" si="46"/>
        <v>21012000</v>
      </c>
      <c r="AO324" s="18"/>
      <c r="AP324" s="18"/>
      <c r="AQ324" s="18"/>
      <c r="AR324" s="51">
        <v>43102</v>
      </c>
      <c r="AS324" s="18" t="s">
        <v>1085</v>
      </c>
      <c r="AT324" s="51">
        <v>43102</v>
      </c>
      <c r="AU324" s="79" t="s">
        <v>1092</v>
      </c>
    </row>
    <row r="325" spans="1:47" ht="141.75" thickTop="1" thickBot="1" x14ac:dyDescent="0.3">
      <c r="A325" s="249">
        <v>20</v>
      </c>
      <c r="B325" s="250" t="s">
        <v>1149</v>
      </c>
      <c r="C325" s="102" t="s">
        <v>1071</v>
      </c>
      <c r="D325" s="18" t="s">
        <v>286</v>
      </c>
      <c r="E325" s="102" t="s">
        <v>1082</v>
      </c>
      <c r="F325" s="18" t="s">
        <v>53</v>
      </c>
      <c r="G325" s="18" t="s">
        <v>54</v>
      </c>
      <c r="H325" s="25" t="s">
        <v>305</v>
      </c>
      <c r="I325" s="18" t="s">
        <v>56</v>
      </c>
      <c r="J325" s="18" t="s">
        <v>57</v>
      </c>
      <c r="K325" s="102">
        <v>801116</v>
      </c>
      <c r="L325" s="102" t="s">
        <v>1073</v>
      </c>
      <c r="M325" s="102" t="s">
        <v>1074</v>
      </c>
      <c r="N325" s="102" t="s">
        <v>1075</v>
      </c>
      <c r="O325" s="102" t="s">
        <v>1076</v>
      </c>
      <c r="P325" s="195" t="s">
        <v>1150</v>
      </c>
      <c r="Q325" s="202">
        <v>1545000</v>
      </c>
      <c r="R325" s="18">
        <v>1</v>
      </c>
      <c r="S325" s="203">
        <v>16995000</v>
      </c>
      <c r="T325" s="204" t="s">
        <v>934</v>
      </c>
      <c r="U325" s="18" t="s">
        <v>68</v>
      </c>
      <c r="V325" s="51">
        <v>43125</v>
      </c>
      <c r="W325" s="205">
        <v>11</v>
      </c>
      <c r="X325" s="40" t="s">
        <v>1151</v>
      </c>
      <c r="Y325" s="51">
        <v>43103</v>
      </c>
      <c r="Z325" s="201">
        <v>16995000</v>
      </c>
      <c r="AA325" s="110"/>
      <c r="AB325" s="18">
        <v>168</v>
      </c>
      <c r="AC325" s="51">
        <v>43105</v>
      </c>
      <c r="AD325" s="201">
        <v>16995000</v>
      </c>
      <c r="AE325" s="18"/>
      <c r="AF325" s="18">
        <v>108</v>
      </c>
      <c r="AG325" s="51">
        <v>43116</v>
      </c>
      <c r="AH325" s="211">
        <v>16995000</v>
      </c>
      <c r="AI325" s="110" t="s">
        <v>1152</v>
      </c>
      <c r="AJ325" s="18">
        <v>71</v>
      </c>
      <c r="AK325" s="18"/>
      <c r="AL325" s="201">
        <f t="shared" si="45"/>
        <v>16995000</v>
      </c>
      <c r="AM325" s="201">
        <v>2266000</v>
      </c>
      <c r="AN325" s="201">
        <f t="shared" si="46"/>
        <v>14729000</v>
      </c>
      <c r="AO325" s="18"/>
      <c r="AP325" s="18"/>
      <c r="AQ325" s="18"/>
      <c r="AR325" s="51">
        <v>43102</v>
      </c>
      <c r="AS325" s="18" t="s">
        <v>1085</v>
      </c>
      <c r="AT325" s="51">
        <v>43102</v>
      </c>
      <c r="AU325" s="79" t="s">
        <v>1092</v>
      </c>
    </row>
    <row r="326" spans="1:47" ht="141.75" thickTop="1" thickBot="1" x14ac:dyDescent="0.3">
      <c r="A326" s="249">
        <v>21</v>
      </c>
      <c r="B326" s="250" t="s">
        <v>1153</v>
      </c>
      <c r="C326" s="102" t="s">
        <v>1071</v>
      </c>
      <c r="D326" s="18" t="s">
        <v>286</v>
      </c>
      <c r="E326" s="102" t="s">
        <v>1082</v>
      </c>
      <c r="F326" s="18" t="s">
        <v>53</v>
      </c>
      <c r="G326" s="18" t="s">
        <v>54</v>
      </c>
      <c r="H326" s="25" t="s">
        <v>305</v>
      </c>
      <c r="I326" s="18" t="s">
        <v>56</v>
      </c>
      <c r="J326" s="18" t="s">
        <v>57</v>
      </c>
      <c r="K326" s="102">
        <v>801116</v>
      </c>
      <c r="L326" s="102" t="s">
        <v>1073</v>
      </c>
      <c r="M326" s="102" t="s">
        <v>1074</v>
      </c>
      <c r="N326" s="102" t="s">
        <v>1075</v>
      </c>
      <c r="O326" s="102" t="s">
        <v>1076</v>
      </c>
      <c r="P326" s="195" t="s">
        <v>1150</v>
      </c>
      <c r="Q326" s="202">
        <v>1545000</v>
      </c>
      <c r="R326" s="18">
        <v>1</v>
      </c>
      <c r="S326" s="203">
        <v>16995000</v>
      </c>
      <c r="T326" s="204" t="s">
        <v>934</v>
      </c>
      <c r="U326" s="18" t="s">
        <v>68</v>
      </c>
      <c r="V326" s="51">
        <v>43125</v>
      </c>
      <c r="W326" s="205">
        <v>11</v>
      </c>
      <c r="X326" s="40" t="s">
        <v>1154</v>
      </c>
      <c r="Y326" s="51">
        <v>43103</v>
      </c>
      <c r="Z326" s="201">
        <v>16995000</v>
      </c>
      <c r="AA326" s="110"/>
      <c r="AB326" s="18">
        <v>169</v>
      </c>
      <c r="AC326" s="51">
        <v>43105</v>
      </c>
      <c r="AD326" s="201">
        <v>16995000</v>
      </c>
      <c r="AE326" s="18"/>
      <c r="AF326" s="18">
        <v>78</v>
      </c>
      <c r="AG326" s="51">
        <v>43116</v>
      </c>
      <c r="AH326" s="201">
        <v>16995000</v>
      </c>
      <c r="AI326" s="110" t="s">
        <v>1155</v>
      </c>
      <c r="AJ326" s="18">
        <v>67</v>
      </c>
      <c r="AK326" s="18"/>
      <c r="AL326" s="201">
        <f t="shared" si="45"/>
        <v>16995000</v>
      </c>
      <c r="AM326" s="201">
        <v>3811000</v>
      </c>
      <c r="AN326" s="201">
        <f t="shared" si="46"/>
        <v>13184000</v>
      </c>
      <c r="AO326" s="18"/>
      <c r="AP326" s="18"/>
      <c r="AQ326" s="18"/>
      <c r="AR326" s="51">
        <v>43102</v>
      </c>
      <c r="AS326" s="18" t="s">
        <v>1085</v>
      </c>
      <c r="AT326" s="51">
        <v>43102</v>
      </c>
      <c r="AU326" s="79" t="s">
        <v>1092</v>
      </c>
    </row>
    <row r="327" spans="1:47" ht="103.5" thickTop="1" thickBot="1" x14ac:dyDescent="0.3">
      <c r="A327" s="249">
        <v>22</v>
      </c>
      <c r="B327" s="250" t="s">
        <v>1156</v>
      </c>
      <c r="C327" s="102" t="s">
        <v>1071</v>
      </c>
      <c r="D327" s="18" t="s">
        <v>286</v>
      </c>
      <c r="E327" s="102" t="s">
        <v>1080</v>
      </c>
      <c r="F327" s="18" t="s">
        <v>53</v>
      </c>
      <c r="G327" s="18" t="s">
        <v>54</v>
      </c>
      <c r="H327" s="25" t="s">
        <v>305</v>
      </c>
      <c r="I327" s="18" t="s">
        <v>56</v>
      </c>
      <c r="J327" s="18" t="s">
        <v>57</v>
      </c>
      <c r="K327" s="102">
        <v>801116</v>
      </c>
      <c r="L327" s="102" t="s">
        <v>1073</v>
      </c>
      <c r="M327" s="102" t="s">
        <v>1074</v>
      </c>
      <c r="N327" s="102" t="s">
        <v>1075</v>
      </c>
      <c r="O327" s="102" t="s">
        <v>1076</v>
      </c>
      <c r="P327" s="195" t="s">
        <v>1157</v>
      </c>
      <c r="Q327" s="202">
        <v>1500000</v>
      </c>
      <c r="R327" s="18">
        <v>1</v>
      </c>
      <c r="S327" s="203">
        <v>3000000</v>
      </c>
      <c r="T327" s="204" t="s">
        <v>934</v>
      </c>
      <c r="U327" s="18" t="s">
        <v>68</v>
      </c>
      <c r="V327" s="51">
        <v>43125</v>
      </c>
      <c r="W327" s="205">
        <v>2</v>
      </c>
      <c r="X327" s="40" t="s">
        <v>1158</v>
      </c>
      <c r="Y327" s="51">
        <v>43103</v>
      </c>
      <c r="Z327" s="201">
        <v>3000000</v>
      </c>
      <c r="AA327" s="110"/>
      <c r="AB327" s="18">
        <v>170</v>
      </c>
      <c r="AC327" s="51">
        <v>43105</v>
      </c>
      <c r="AD327" s="201">
        <v>3000000</v>
      </c>
      <c r="AE327" s="18"/>
      <c r="AF327" s="18"/>
      <c r="AG327" s="18"/>
      <c r="AH327" s="201">
        <v>3000000</v>
      </c>
      <c r="AI327" s="110" t="s">
        <v>1159</v>
      </c>
      <c r="AJ327" s="18"/>
      <c r="AK327" s="18"/>
      <c r="AL327" s="201">
        <v>3000000</v>
      </c>
      <c r="AM327" s="201"/>
      <c r="AN327" s="201">
        <v>3000000</v>
      </c>
      <c r="AO327" s="18"/>
      <c r="AP327" s="18"/>
      <c r="AQ327" s="18"/>
      <c r="AR327" s="51">
        <v>43102</v>
      </c>
      <c r="AS327" s="18" t="s">
        <v>1085</v>
      </c>
      <c r="AT327" s="51">
        <v>43102</v>
      </c>
      <c r="AU327" s="79" t="s">
        <v>1160</v>
      </c>
    </row>
    <row r="328" spans="1:47" ht="103.5" thickTop="1" thickBot="1" x14ac:dyDescent="0.3">
      <c r="A328" s="249">
        <v>23</v>
      </c>
      <c r="B328" s="250" t="s">
        <v>1161</v>
      </c>
      <c r="C328" s="102" t="s">
        <v>1071</v>
      </c>
      <c r="D328" s="18" t="s">
        <v>286</v>
      </c>
      <c r="E328" s="102" t="s">
        <v>1080</v>
      </c>
      <c r="F328" s="18" t="s">
        <v>53</v>
      </c>
      <c r="G328" s="18" t="s">
        <v>54</v>
      </c>
      <c r="H328" s="25" t="s">
        <v>305</v>
      </c>
      <c r="I328" s="18" t="s">
        <v>56</v>
      </c>
      <c r="J328" s="18" t="s">
        <v>57</v>
      </c>
      <c r="K328" s="102">
        <v>801116</v>
      </c>
      <c r="L328" s="102" t="s">
        <v>1073</v>
      </c>
      <c r="M328" s="102" t="s">
        <v>1074</v>
      </c>
      <c r="N328" s="102" t="s">
        <v>1075</v>
      </c>
      <c r="O328" s="102" t="s">
        <v>1076</v>
      </c>
      <c r="P328" s="195" t="s">
        <v>1150</v>
      </c>
      <c r="Q328" s="202">
        <v>1545000</v>
      </c>
      <c r="R328" s="18">
        <v>1</v>
      </c>
      <c r="S328" s="203">
        <v>9270000</v>
      </c>
      <c r="T328" s="204" t="s">
        <v>934</v>
      </c>
      <c r="U328" s="18" t="s">
        <v>68</v>
      </c>
      <c r="V328" s="51">
        <v>43125</v>
      </c>
      <c r="W328" s="205">
        <v>6</v>
      </c>
      <c r="X328" s="40"/>
      <c r="Y328" s="51"/>
      <c r="Z328" s="110"/>
      <c r="AA328" s="110"/>
      <c r="AB328" s="18"/>
      <c r="AC328" s="51">
        <v>43105</v>
      </c>
      <c r="AD328" s="201">
        <v>33423500</v>
      </c>
      <c r="AE328" s="18"/>
      <c r="AF328" s="18"/>
      <c r="AG328" s="18"/>
      <c r="AH328" s="201"/>
      <c r="AI328" s="110" t="s">
        <v>1159</v>
      </c>
      <c r="AJ328" s="18"/>
      <c r="AK328" s="18"/>
      <c r="AL328" s="201"/>
      <c r="AM328" s="201"/>
      <c r="AN328" s="201"/>
      <c r="AO328" s="18"/>
      <c r="AP328" s="18"/>
      <c r="AQ328" s="18"/>
      <c r="AR328" s="18"/>
      <c r="AS328" s="18"/>
      <c r="AT328" s="18"/>
      <c r="AU328" s="79"/>
    </row>
    <row r="329" spans="1:47" ht="141.75" thickTop="1" thickBot="1" x14ac:dyDescent="0.3">
      <c r="A329" s="249">
        <v>24</v>
      </c>
      <c r="B329" s="250" t="s">
        <v>1162</v>
      </c>
      <c r="C329" s="102" t="s">
        <v>1071</v>
      </c>
      <c r="D329" s="18" t="s">
        <v>286</v>
      </c>
      <c r="E329" s="102" t="s">
        <v>1082</v>
      </c>
      <c r="F329" s="18" t="s">
        <v>53</v>
      </c>
      <c r="G329" s="18" t="s">
        <v>54</v>
      </c>
      <c r="H329" s="25" t="s">
        <v>305</v>
      </c>
      <c r="I329" s="18" t="s">
        <v>56</v>
      </c>
      <c r="J329" s="18" t="s">
        <v>57</v>
      </c>
      <c r="K329" s="102">
        <v>801116</v>
      </c>
      <c r="L329" s="102" t="s">
        <v>1073</v>
      </c>
      <c r="M329" s="102" t="s">
        <v>1074</v>
      </c>
      <c r="N329" s="102" t="s">
        <v>1075</v>
      </c>
      <c r="O329" s="102" t="s">
        <v>1076</v>
      </c>
      <c r="P329" s="195" t="s">
        <v>1146</v>
      </c>
      <c r="Q329" s="202">
        <v>3038500</v>
      </c>
      <c r="R329" s="18">
        <v>1</v>
      </c>
      <c r="S329" s="203">
        <v>33423500</v>
      </c>
      <c r="T329" s="204" t="s">
        <v>934</v>
      </c>
      <c r="U329" s="18" t="s">
        <v>68</v>
      </c>
      <c r="V329" s="51">
        <v>43125</v>
      </c>
      <c r="W329" s="205">
        <v>11</v>
      </c>
      <c r="X329" s="40" t="s">
        <v>1163</v>
      </c>
      <c r="Y329" s="51">
        <v>43103</v>
      </c>
      <c r="Z329" s="201">
        <v>33423500</v>
      </c>
      <c r="AA329" s="110"/>
      <c r="AB329" s="18">
        <v>171</v>
      </c>
      <c r="AC329" s="51">
        <v>43105</v>
      </c>
      <c r="AD329" s="201">
        <v>33423500</v>
      </c>
      <c r="AE329" s="18"/>
      <c r="AF329" s="18">
        <v>7</v>
      </c>
      <c r="AG329" s="51">
        <v>43112</v>
      </c>
      <c r="AH329" s="201">
        <v>33423500</v>
      </c>
      <c r="AI329" s="110" t="s">
        <v>1164</v>
      </c>
      <c r="AJ329" s="18">
        <v>3</v>
      </c>
      <c r="AK329" s="18"/>
      <c r="AL329" s="201">
        <f>AH329</f>
        <v>33423500</v>
      </c>
      <c r="AM329" s="201">
        <v>8001383</v>
      </c>
      <c r="AN329" s="201">
        <f>AL329-AM329</f>
        <v>25422117</v>
      </c>
      <c r="AO329" s="18"/>
      <c r="AP329" s="18"/>
      <c r="AQ329" s="18"/>
      <c r="AR329" s="51">
        <v>43102</v>
      </c>
      <c r="AS329" s="18" t="s">
        <v>1085</v>
      </c>
      <c r="AT329" s="51">
        <v>43102</v>
      </c>
      <c r="AU329" s="79" t="s">
        <v>1092</v>
      </c>
    </row>
    <row r="330" spans="1:47" ht="141.75" thickTop="1" thickBot="1" x14ac:dyDescent="0.3">
      <c r="A330" s="249">
        <v>25</v>
      </c>
      <c r="B330" s="250" t="s">
        <v>1165</v>
      </c>
      <c r="C330" s="102" t="s">
        <v>1071</v>
      </c>
      <c r="D330" s="18" t="s">
        <v>286</v>
      </c>
      <c r="E330" s="102" t="s">
        <v>1082</v>
      </c>
      <c r="F330" s="18" t="s">
        <v>53</v>
      </c>
      <c r="G330" s="18" t="s">
        <v>54</v>
      </c>
      <c r="H330" s="25" t="s">
        <v>305</v>
      </c>
      <c r="I330" s="18" t="s">
        <v>56</v>
      </c>
      <c r="J330" s="18" t="s">
        <v>57</v>
      </c>
      <c r="K330" s="102">
        <v>801116</v>
      </c>
      <c r="L330" s="102" t="s">
        <v>1073</v>
      </c>
      <c r="M330" s="102" t="s">
        <v>1074</v>
      </c>
      <c r="N330" s="102" t="s">
        <v>1075</v>
      </c>
      <c r="O330" s="102" t="s">
        <v>1076</v>
      </c>
      <c r="P330" s="195" t="s">
        <v>1146</v>
      </c>
      <c r="Q330" s="202">
        <v>2472000</v>
      </c>
      <c r="R330" s="18">
        <v>1</v>
      </c>
      <c r="S330" s="203">
        <v>27192000</v>
      </c>
      <c r="T330" s="204" t="s">
        <v>934</v>
      </c>
      <c r="U330" s="18" t="s">
        <v>68</v>
      </c>
      <c r="V330" s="51">
        <v>43125</v>
      </c>
      <c r="W330" s="205">
        <v>11</v>
      </c>
      <c r="X330" s="40" t="s">
        <v>1166</v>
      </c>
      <c r="Y330" s="51">
        <v>43103</v>
      </c>
      <c r="Z330" s="201">
        <v>27192000</v>
      </c>
      <c r="AA330" s="110"/>
      <c r="AB330" s="18">
        <v>172</v>
      </c>
      <c r="AC330" s="51">
        <v>43105</v>
      </c>
      <c r="AD330" s="201">
        <v>27192000</v>
      </c>
      <c r="AE330" s="18"/>
      <c r="AF330" s="18">
        <v>399</v>
      </c>
      <c r="AG330" s="51">
        <v>43124</v>
      </c>
      <c r="AH330" s="201">
        <v>27192000</v>
      </c>
      <c r="AI330" s="110" t="s">
        <v>1167</v>
      </c>
      <c r="AJ330" s="18">
        <v>320</v>
      </c>
      <c r="AK330" s="18"/>
      <c r="AL330" s="201">
        <f t="shared" ref="AL330:AL339" si="47">AH330</f>
        <v>27192000</v>
      </c>
      <c r="AM330" s="201">
        <v>5520800</v>
      </c>
      <c r="AN330" s="201">
        <f>AL330-AM330</f>
        <v>21671200</v>
      </c>
      <c r="AO330" s="18"/>
      <c r="AP330" s="18"/>
      <c r="AQ330" s="18"/>
      <c r="AR330" s="51">
        <v>43102</v>
      </c>
      <c r="AS330" s="18" t="s">
        <v>1085</v>
      </c>
      <c r="AT330" s="51">
        <v>43102</v>
      </c>
      <c r="AU330" s="79" t="s">
        <v>1092</v>
      </c>
    </row>
    <row r="331" spans="1:47" ht="103.5" thickTop="1" thickBot="1" x14ac:dyDescent="0.3">
      <c r="A331" s="249">
        <v>26</v>
      </c>
      <c r="B331" s="250" t="s">
        <v>1168</v>
      </c>
      <c r="C331" s="102" t="s">
        <v>1071</v>
      </c>
      <c r="D331" s="18" t="s">
        <v>286</v>
      </c>
      <c r="E331" s="102" t="s">
        <v>1072</v>
      </c>
      <c r="F331" s="18" t="s">
        <v>53</v>
      </c>
      <c r="G331" s="18" t="s">
        <v>54</v>
      </c>
      <c r="H331" s="25" t="s">
        <v>305</v>
      </c>
      <c r="I331" s="18" t="s">
        <v>56</v>
      </c>
      <c r="J331" s="18" t="s">
        <v>57</v>
      </c>
      <c r="K331" s="102">
        <v>801116</v>
      </c>
      <c r="L331" s="102" t="s">
        <v>1073</v>
      </c>
      <c r="M331" s="102" t="s">
        <v>1074</v>
      </c>
      <c r="N331" s="102" t="s">
        <v>1075</v>
      </c>
      <c r="O331" s="102" t="s">
        <v>1076</v>
      </c>
      <c r="P331" s="195" t="s">
        <v>1150</v>
      </c>
      <c r="Q331" s="202">
        <v>1545000</v>
      </c>
      <c r="R331" s="18">
        <v>1</v>
      </c>
      <c r="S331" s="203">
        <v>16995000</v>
      </c>
      <c r="T331" s="204" t="s">
        <v>900</v>
      </c>
      <c r="U331" s="18" t="s">
        <v>68</v>
      </c>
      <c r="V331" s="51">
        <v>43125</v>
      </c>
      <c r="W331" s="205">
        <v>11</v>
      </c>
      <c r="X331" s="40" t="s">
        <v>1169</v>
      </c>
      <c r="Y331" s="51">
        <v>43103</v>
      </c>
      <c r="Z331" s="201">
        <v>16995000</v>
      </c>
      <c r="AA331" s="110"/>
      <c r="AB331" s="18">
        <v>173</v>
      </c>
      <c r="AC331" s="51">
        <v>43105</v>
      </c>
      <c r="AD331" s="201">
        <v>16995000</v>
      </c>
      <c r="AE331" s="18"/>
      <c r="AF331" s="18">
        <v>66</v>
      </c>
      <c r="AG331" s="51">
        <v>43116</v>
      </c>
      <c r="AH331" s="201">
        <v>16995000</v>
      </c>
      <c r="AI331" s="110" t="s">
        <v>1170</v>
      </c>
      <c r="AJ331" s="18">
        <v>31</v>
      </c>
      <c r="AK331" s="18"/>
      <c r="AL331" s="201">
        <f t="shared" si="47"/>
        <v>16995000</v>
      </c>
      <c r="AM331" s="201">
        <v>3862500</v>
      </c>
      <c r="AN331" s="201">
        <f>AL331-AM331</f>
        <v>13132500</v>
      </c>
      <c r="AO331" s="18"/>
      <c r="AP331" s="18"/>
      <c r="AQ331" s="18"/>
      <c r="AR331" s="51">
        <v>43102</v>
      </c>
      <c r="AS331" s="18" t="s">
        <v>1085</v>
      </c>
      <c r="AT331" s="51">
        <v>43102</v>
      </c>
      <c r="AU331" s="79" t="s">
        <v>1092</v>
      </c>
    </row>
    <row r="332" spans="1:47" ht="141.75" thickTop="1" thickBot="1" x14ac:dyDescent="0.3">
      <c r="A332" s="249">
        <v>27</v>
      </c>
      <c r="B332" s="250" t="s">
        <v>1171</v>
      </c>
      <c r="C332" s="102" t="s">
        <v>1071</v>
      </c>
      <c r="D332" s="18" t="s">
        <v>286</v>
      </c>
      <c r="E332" s="102" t="s">
        <v>1082</v>
      </c>
      <c r="F332" s="18" t="s">
        <v>53</v>
      </c>
      <c r="G332" s="18" t="s">
        <v>54</v>
      </c>
      <c r="H332" s="25" t="s">
        <v>305</v>
      </c>
      <c r="I332" s="18" t="s">
        <v>56</v>
      </c>
      <c r="J332" s="18" t="s">
        <v>57</v>
      </c>
      <c r="K332" s="102">
        <v>801116</v>
      </c>
      <c r="L332" s="102" t="s">
        <v>1073</v>
      </c>
      <c r="M332" s="102" t="s">
        <v>1074</v>
      </c>
      <c r="N332" s="102" t="s">
        <v>1075</v>
      </c>
      <c r="O332" s="102" t="s">
        <v>1076</v>
      </c>
      <c r="P332" s="195" t="s">
        <v>1172</v>
      </c>
      <c r="Q332" s="202">
        <v>1545000</v>
      </c>
      <c r="R332" s="18">
        <v>1</v>
      </c>
      <c r="S332" s="203">
        <v>16995000</v>
      </c>
      <c r="T332" s="204" t="s">
        <v>900</v>
      </c>
      <c r="U332" s="18" t="s">
        <v>68</v>
      </c>
      <c r="V332" s="51">
        <v>43125</v>
      </c>
      <c r="W332" s="205">
        <v>11</v>
      </c>
      <c r="X332" s="40" t="s">
        <v>1173</v>
      </c>
      <c r="Y332" s="51">
        <v>43103</v>
      </c>
      <c r="Z332" s="201">
        <v>16995000</v>
      </c>
      <c r="AA332" s="110"/>
      <c r="AB332" s="18">
        <v>174</v>
      </c>
      <c r="AC332" s="51">
        <v>43105</v>
      </c>
      <c r="AD332" s="201">
        <v>16995000</v>
      </c>
      <c r="AE332" s="18"/>
      <c r="AF332" s="18">
        <v>169</v>
      </c>
      <c r="AG332" s="51">
        <v>43118</v>
      </c>
      <c r="AH332" s="211">
        <v>16995000</v>
      </c>
      <c r="AI332" s="110" t="s">
        <v>1174</v>
      </c>
      <c r="AJ332" s="18">
        <v>140</v>
      </c>
      <c r="AK332" s="18"/>
      <c r="AL332" s="201">
        <f t="shared" si="47"/>
        <v>16995000</v>
      </c>
      <c r="AM332" s="201">
        <v>3708000</v>
      </c>
      <c r="AN332" s="201">
        <f>AL332-AM332</f>
        <v>13287000</v>
      </c>
      <c r="AO332" s="18"/>
      <c r="AP332" s="18"/>
      <c r="AQ332" s="18"/>
      <c r="AR332" s="51">
        <v>43102</v>
      </c>
      <c r="AS332" s="18" t="s">
        <v>1085</v>
      </c>
      <c r="AT332" s="51">
        <v>43102</v>
      </c>
      <c r="AU332" s="79" t="s">
        <v>1092</v>
      </c>
    </row>
    <row r="333" spans="1:47" ht="141.75" thickTop="1" thickBot="1" x14ac:dyDescent="0.3">
      <c r="A333" s="249">
        <v>28</v>
      </c>
      <c r="B333" s="250" t="s">
        <v>1175</v>
      </c>
      <c r="C333" s="102" t="s">
        <v>1071</v>
      </c>
      <c r="D333" s="18" t="s">
        <v>286</v>
      </c>
      <c r="E333" s="102" t="s">
        <v>1082</v>
      </c>
      <c r="F333" s="18" t="s">
        <v>53</v>
      </c>
      <c r="G333" s="18" t="s">
        <v>54</v>
      </c>
      <c r="H333" s="25" t="s">
        <v>305</v>
      </c>
      <c r="I333" s="18" t="s">
        <v>56</v>
      </c>
      <c r="J333" s="18" t="s">
        <v>57</v>
      </c>
      <c r="K333" s="102">
        <v>801116</v>
      </c>
      <c r="L333" s="102" t="s">
        <v>1073</v>
      </c>
      <c r="M333" s="102" t="s">
        <v>1074</v>
      </c>
      <c r="N333" s="102" t="s">
        <v>1075</v>
      </c>
      <c r="O333" s="102" t="s">
        <v>1076</v>
      </c>
      <c r="P333" s="195" t="s">
        <v>1176</v>
      </c>
      <c r="Q333" s="202">
        <v>7210000</v>
      </c>
      <c r="R333" s="18">
        <v>1</v>
      </c>
      <c r="S333" s="203">
        <v>79310000</v>
      </c>
      <c r="T333" s="204" t="s">
        <v>900</v>
      </c>
      <c r="U333" s="18" t="s">
        <v>68</v>
      </c>
      <c r="V333" s="51">
        <v>43125</v>
      </c>
      <c r="W333" s="205">
        <v>11</v>
      </c>
      <c r="X333" s="40" t="s">
        <v>1177</v>
      </c>
      <c r="Y333" s="51">
        <v>43103</v>
      </c>
      <c r="Z333" s="201">
        <v>79310000</v>
      </c>
      <c r="AA333" s="110"/>
      <c r="AB333" s="18">
        <v>175</v>
      </c>
      <c r="AC333" s="51">
        <v>43105</v>
      </c>
      <c r="AD333" s="201">
        <v>79310000</v>
      </c>
      <c r="AE333" s="18"/>
      <c r="AF333" s="18">
        <v>64</v>
      </c>
      <c r="AG333" s="51">
        <v>43116</v>
      </c>
      <c r="AH333" s="211">
        <v>79310000</v>
      </c>
      <c r="AI333" s="110" t="s">
        <v>1178</v>
      </c>
      <c r="AJ333" s="18">
        <v>29</v>
      </c>
      <c r="AK333" s="18"/>
      <c r="AL333" s="201">
        <f t="shared" si="47"/>
        <v>79310000</v>
      </c>
      <c r="AM333" s="201">
        <v>18025000</v>
      </c>
      <c r="AN333" s="201">
        <f>AL333-AM333</f>
        <v>61285000</v>
      </c>
      <c r="AO333" s="18"/>
      <c r="AP333" s="18"/>
      <c r="AQ333" s="18"/>
      <c r="AR333" s="51">
        <v>43102</v>
      </c>
      <c r="AS333" s="18" t="s">
        <v>1085</v>
      </c>
      <c r="AT333" s="51">
        <v>43102</v>
      </c>
      <c r="AU333" s="79" t="s">
        <v>1092</v>
      </c>
    </row>
    <row r="334" spans="1:47" ht="103.5" thickTop="1" thickBot="1" x14ac:dyDescent="0.3">
      <c r="A334" s="249">
        <v>29</v>
      </c>
      <c r="B334" s="250" t="s">
        <v>1179</v>
      </c>
      <c r="C334" s="102" t="s">
        <v>1071</v>
      </c>
      <c r="D334" s="18" t="s">
        <v>286</v>
      </c>
      <c r="E334" s="102" t="s">
        <v>1072</v>
      </c>
      <c r="F334" s="18" t="s">
        <v>53</v>
      </c>
      <c r="G334" s="18" t="s">
        <v>54</v>
      </c>
      <c r="H334" s="25" t="s">
        <v>305</v>
      </c>
      <c r="I334" s="18" t="s">
        <v>56</v>
      </c>
      <c r="J334" s="18" t="s">
        <v>57</v>
      </c>
      <c r="K334" s="102">
        <v>801116</v>
      </c>
      <c r="L334" s="102" t="s">
        <v>1073</v>
      </c>
      <c r="M334" s="102" t="s">
        <v>1074</v>
      </c>
      <c r="N334" s="102" t="s">
        <v>1075</v>
      </c>
      <c r="O334" s="102" t="s">
        <v>1076</v>
      </c>
      <c r="P334" s="195" t="s">
        <v>1180</v>
      </c>
      <c r="Q334" s="202">
        <v>5665000</v>
      </c>
      <c r="R334" s="18">
        <v>1</v>
      </c>
      <c r="S334" s="203">
        <v>62315000</v>
      </c>
      <c r="T334" s="204" t="s">
        <v>900</v>
      </c>
      <c r="U334" s="18" t="s">
        <v>68</v>
      </c>
      <c r="V334" s="51">
        <v>43125</v>
      </c>
      <c r="W334" s="205">
        <v>11</v>
      </c>
      <c r="X334" s="40" t="s">
        <v>1181</v>
      </c>
      <c r="Y334" s="51">
        <v>43103</v>
      </c>
      <c r="Z334" s="201">
        <v>62315000</v>
      </c>
      <c r="AA334" s="110"/>
      <c r="AB334" s="18">
        <v>176</v>
      </c>
      <c r="AC334" s="51">
        <v>43105</v>
      </c>
      <c r="AD334" s="201">
        <v>62315000</v>
      </c>
      <c r="AE334" s="18"/>
      <c r="AF334" s="18">
        <v>285</v>
      </c>
      <c r="AG334" s="51">
        <v>43122</v>
      </c>
      <c r="AH334" s="211">
        <v>62315000</v>
      </c>
      <c r="AI334" s="110" t="s">
        <v>1182</v>
      </c>
      <c r="AJ334" s="18">
        <v>255</v>
      </c>
      <c r="AK334" s="18"/>
      <c r="AL334" s="201">
        <f t="shared" si="47"/>
        <v>62315000</v>
      </c>
      <c r="AM334" s="201">
        <v>13029500</v>
      </c>
      <c r="AN334" s="201">
        <f t="shared" ref="AN334:AN335" si="48">AL334-AM334</f>
        <v>49285500</v>
      </c>
      <c r="AO334" s="18"/>
      <c r="AP334" s="18"/>
      <c r="AQ334" s="18"/>
      <c r="AR334" s="51">
        <v>43102</v>
      </c>
      <c r="AS334" s="18" t="s">
        <v>1085</v>
      </c>
      <c r="AT334" s="51">
        <v>43102</v>
      </c>
      <c r="AU334" s="79" t="s">
        <v>1092</v>
      </c>
    </row>
    <row r="335" spans="1:47" ht="103.5" thickTop="1" thickBot="1" x14ac:dyDescent="0.3">
      <c r="A335" s="249">
        <v>30</v>
      </c>
      <c r="B335" s="250" t="s">
        <v>1183</v>
      </c>
      <c r="C335" s="102" t="s">
        <v>1071</v>
      </c>
      <c r="D335" s="18" t="s">
        <v>286</v>
      </c>
      <c r="E335" s="102" t="s">
        <v>1072</v>
      </c>
      <c r="F335" s="18" t="s">
        <v>53</v>
      </c>
      <c r="G335" s="18" t="s">
        <v>54</v>
      </c>
      <c r="H335" s="25" t="s">
        <v>305</v>
      </c>
      <c r="I335" s="18" t="s">
        <v>56</v>
      </c>
      <c r="J335" s="18" t="s">
        <v>57</v>
      </c>
      <c r="K335" s="102">
        <v>801116</v>
      </c>
      <c r="L335" s="102" t="s">
        <v>1073</v>
      </c>
      <c r="M335" s="102" t="s">
        <v>1074</v>
      </c>
      <c r="N335" s="102" t="s">
        <v>1075</v>
      </c>
      <c r="O335" s="102" t="s">
        <v>1076</v>
      </c>
      <c r="P335" s="195" t="s">
        <v>1184</v>
      </c>
      <c r="Q335" s="202">
        <v>3038500</v>
      </c>
      <c r="R335" s="18">
        <v>1</v>
      </c>
      <c r="S335" s="203">
        <v>21269500</v>
      </c>
      <c r="T335" s="204" t="s">
        <v>934</v>
      </c>
      <c r="U335" s="18" t="s">
        <v>68</v>
      </c>
      <c r="V335" s="51">
        <v>43125</v>
      </c>
      <c r="W335" s="205">
        <v>7</v>
      </c>
      <c r="X335" s="40" t="s">
        <v>1185</v>
      </c>
      <c r="Y335" s="51">
        <v>43103</v>
      </c>
      <c r="Z335" s="201">
        <v>21269500</v>
      </c>
      <c r="AA335" s="110"/>
      <c r="AB335" s="18">
        <v>178</v>
      </c>
      <c r="AC335" s="51">
        <v>43105</v>
      </c>
      <c r="AD335" s="201">
        <v>21269500</v>
      </c>
      <c r="AE335" s="18"/>
      <c r="AF335" s="18">
        <v>279</v>
      </c>
      <c r="AG335" s="51">
        <v>43122</v>
      </c>
      <c r="AH335" s="211">
        <v>21269500</v>
      </c>
      <c r="AI335" s="110" t="s">
        <v>1186</v>
      </c>
      <c r="AJ335" s="18">
        <v>249</v>
      </c>
      <c r="AK335" s="18"/>
      <c r="AL335" s="201">
        <f t="shared" si="47"/>
        <v>21269500</v>
      </c>
      <c r="AM335" s="201">
        <v>3747483</v>
      </c>
      <c r="AN335" s="201">
        <f t="shared" si="48"/>
        <v>17522017</v>
      </c>
      <c r="AO335" s="18"/>
      <c r="AP335" s="18"/>
      <c r="AQ335" s="18"/>
      <c r="AR335" s="51">
        <v>43102</v>
      </c>
      <c r="AS335" s="18" t="s">
        <v>1085</v>
      </c>
      <c r="AT335" s="51">
        <v>43102</v>
      </c>
      <c r="AU335" s="79" t="s">
        <v>1092</v>
      </c>
    </row>
    <row r="336" spans="1:47" ht="103.5" thickTop="1" thickBot="1" x14ac:dyDescent="0.3">
      <c r="A336" s="249">
        <v>31</v>
      </c>
      <c r="B336" s="250" t="s">
        <v>1187</v>
      </c>
      <c r="C336" s="102" t="s">
        <v>1071</v>
      </c>
      <c r="D336" s="18" t="s">
        <v>286</v>
      </c>
      <c r="E336" s="102" t="s">
        <v>1072</v>
      </c>
      <c r="F336" s="18" t="s">
        <v>53</v>
      </c>
      <c r="G336" s="18" t="s">
        <v>54</v>
      </c>
      <c r="H336" s="25" t="s">
        <v>305</v>
      </c>
      <c r="I336" s="18" t="s">
        <v>56</v>
      </c>
      <c r="J336" s="18" t="s">
        <v>57</v>
      </c>
      <c r="K336" s="102">
        <v>801116</v>
      </c>
      <c r="L336" s="102" t="s">
        <v>1073</v>
      </c>
      <c r="M336" s="102" t="s">
        <v>1074</v>
      </c>
      <c r="N336" s="102" t="s">
        <v>1075</v>
      </c>
      <c r="O336" s="102" t="s">
        <v>1076</v>
      </c>
      <c r="P336" s="195" t="s">
        <v>1188</v>
      </c>
      <c r="Q336" s="202">
        <v>4532000</v>
      </c>
      <c r="R336" s="18">
        <v>1</v>
      </c>
      <c r="S336" s="203">
        <v>49852000</v>
      </c>
      <c r="T336" s="204" t="s">
        <v>900</v>
      </c>
      <c r="U336" s="18" t="s">
        <v>68</v>
      </c>
      <c r="V336" s="51">
        <v>43125</v>
      </c>
      <c r="W336" s="205">
        <v>11</v>
      </c>
      <c r="X336" s="40" t="s">
        <v>1189</v>
      </c>
      <c r="Y336" s="51">
        <v>43103</v>
      </c>
      <c r="Z336" s="201">
        <v>49852000</v>
      </c>
      <c r="AA336" s="110"/>
      <c r="AB336" s="18">
        <v>179</v>
      </c>
      <c r="AC336" s="51">
        <v>43105</v>
      </c>
      <c r="AD336" s="201">
        <v>49852000</v>
      </c>
      <c r="AE336" s="18"/>
      <c r="AF336" s="18">
        <v>8</v>
      </c>
      <c r="AG336" s="51">
        <v>43112</v>
      </c>
      <c r="AH336" s="211">
        <v>49852000</v>
      </c>
      <c r="AI336" s="110" t="s">
        <v>1190</v>
      </c>
      <c r="AJ336" s="18">
        <v>4</v>
      </c>
      <c r="AK336" s="18"/>
      <c r="AL336" s="201">
        <f t="shared" si="47"/>
        <v>49852000</v>
      </c>
      <c r="AM336" s="201">
        <v>11934267</v>
      </c>
      <c r="AN336" s="201">
        <f>AL336-AM336</f>
        <v>37917733</v>
      </c>
      <c r="AO336" s="18"/>
      <c r="AP336" s="18"/>
      <c r="AQ336" s="18"/>
      <c r="AR336" s="51">
        <v>43102</v>
      </c>
      <c r="AS336" s="18" t="s">
        <v>1085</v>
      </c>
      <c r="AT336" s="51">
        <v>43102</v>
      </c>
      <c r="AU336" s="79" t="s">
        <v>1092</v>
      </c>
    </row>
    <row r="337" spans="1:47" ht="141.75" thickTop="1" thickBot="1" x14ac:dyDescent="0.3">
      <c r="A337" s="249">
        <v>32</v>
      </c>
      <c r="B337" s="250" t="s">
        <v>1191</v>
      </c>
      <c r="C337" s="102" t="s">
        <v>1071</v>
      </c>
      <c r="D337" s="18" t="s">
        <v>286</v>
      </c>
      <c r="E337" s="102" t="s">
        <v>1082</v>
      </c>
      <c r="F337" s="18" t="s">
        <v>53</v>
      </c>
      <c r="G337" s="18" t="s">
        <v>54</v>
      </c>
      <c r="H337" s="25" t="s">
        <v>305</v>
      </c>
      <c r="I337" s="18" t="s">
        <v>56</v>
      </c>
      <c r="J337" s="18" t="s">
        <v>57</v>
      </c>
      <c r="K337" s="102">
        <v>801116</v>
      </c>
      <c r="L337" s="102" t="s">
        <v>1073</v>
      </c>
      <c r="M337" s="102" t="s">
        <v>1074</v>
      </c>
      <c r="N337" s="102" t="s">
        <v>1075</v>
      </c>
      <c r="O337" s="102" t="s">
        <v>1076</v>
      </c>
      <c r="P337" s="195" t="s">
        <v>1192</v>
      </c>
      <c r="Q337" s="202">
        <v>5253000</v>
      </c>
      <c r="R337" s="18">
        <v>1</v>
      </c>
      <c r="S337" s="203">
        <v>57783000</v>
      </c>
      <c r="T337" s="204" t="s">
        <v>900</v>
      </c>
      <c r="U337" s="18" t="s">
        <v>68</v>
      </c>
      <c r="V337" s="51">
        <v>43125</v>
      </c>
      <c r="W337" s="205">
        <v>11</v>
      </c>
      <c r="X337" s="40" t="s">
        <v>1193</v>
      </c>
      <c r="Y337" s="51">
        <v>43103</v>
      </c>
      <c r="Z337" s="201">
        <v>57783000</v>
      </c>
      <c r="AA337" s="110"/>
      <c r="AB337" s="18">
        <v>181</v>
      </c>
      <c r="AC337" s="51">
        <v>43105</v>
      </c>
      <c r="AD337" s="201">
        <v>57783000</v>
      </c>
      <c r="AE337" s="18"/>
      <c r="AF337" s="18">
        <v>196</v>
      </c>
      <c r="AG337" s="51">
        <v>43118</v>
      </c>
      <c r="AH337" s="211">
        <v>57783000</v>
      </c>
      <c r="AI337" s="110" t="s">
        <v>1194</v>
      </c>
      <c r="AJ337" s="18">
        <v>182</v>
      </c>
      <c r="AK337" s="18"/>
      <c r="AL337" s="201">
        <f t="shared" si="47"/>
        <v>57783000</v>
      </c>
      <c r="AM337" s="201">
        <v>12607200</v>
      </c>
      <c r="AN337" s="201">
        <f>AL337-AM337</f>
        <v>45175800</v>
      </c>
      <c r="AO337" s="18"/>
      <c r="AP337" s="18"/>
      <c r="AQ337" s="18"/>
      <c r="AR337" s="51">
        <v>43102</v>
      </c>
      <c r="AS337" s="18" t="s">
        <v>1085</v>
      </c>
      <c r="AT337" s="51">
        <v>43102</v>
      </c>
      <c r="AU337" s="79" t="s">
        <v>1092</v>
      </c>
    </row>
    <row r="338" spans="1:47" ht="141.75" thickTop="1" thickBot="1" x14ac:dyDescent="0.3">
      <c r="A338" s="249">
        <v>33</v>
      </c>
      <c r="B338" s="250" t="s">
        <v>1195</v>
      </c>
      <c r="C338" s="102" t="s">
        <v>1071</v>
      </c>
      <c r="D338" s="18" t="s">
        <v>286</v>
      </c>
      <c r="E338" s="102" t="s">
        <v>1082</v>
      </c>
      <c r="F338" s="18" t="s">
        <v>53</v>
      </c>
      <c r="G338" s="18" t="s">
        <v>54</v>
      </c>
      <c r="H338" s="25" t="s">
        <v>305</v>
      </c>
      <c r="I338" s="18" t="s">
        <v>56</v>
      </c>
      <c r="J338" s="18" t="s">
        <v>57</v>
      </c>
      <c r="K338" s="102">
        <v>801116</v>
      </c>
      <c r="L338" s="102" t="s">
        <v>1073</v>
      </c>
      <c r="M338" s="102" t="s">
        <v>1074</v>
      </c>
      <c r="N338" s="102" t="s">
        <v>1075</v>
      </c>
      <c r="O338" s="102" t="s">
        <v>1076</v>
      </c>
      <c r="P338" s="195" t="s">
        <v>1196</v>
      </c>
      <c r="Q338" s="202">
        <v>5665000</v>
      </c>
      <c r="R338" s="18">
        <v>1</v>
      </c>
      <c r="S338" s="203">
        <v>62315000</v>
      </c>
      <c r="T338" s="204" t="s">
        <v>900</v>
      </c>
      <c r="U338" s="18" t="s">
        <v>68</v>
      </c>
      <c r="V338" s="51">
        <v>43125</v>
      </c>
      <c r="W338" s="205">
        <v>11</v>
      </c>
      <c r="X338" s="40" t="s">
        <v>1197</v>
      </c>
      <c r="Y338" s="51">
        <v>43103</v>
      </c>
      <c r="Z338" s="201">
        <v>62315000</v>
      </c>
      <c r="AA338" s="110"/>
      <c r="AB338" s="18">
        <v>182</v>
      </c>
      <c r="AC338" s="51">
        <v>43105</v>
      </c>
      <c r="AD338" s="201">
        <v>62315000</v>
      </c>
      <c r="AE338" s="18"/>
      <c r="AF338" s="18">
        <v>27</v>
      </c>
      <c r="AG338" s="51">
        <v>43115</v>
      </c>
      <c r="AH338" s="211">
        <v>62315000</v>
      </c>
      <c r="AI338" s="110" t="s">
        <v>1198</v>
      </c>
      <c r="AJ338" s="18">
        <v>19</v>
      </c>
      <c r="AK338" s="18"/>
      <c r="AL338" s="201">
        <f t="shared" si="47"/>
        <v>62315000</v>
      </c>
      <c r="AM338" s="201">
        <v>14351333</v>
      </c>
      <c r="AN338" s="201">
        <f>AL338-AM338</f>
        <v>47963667</v>
      </c>
      <c r="AO338" s="18"/>
      <c r="AP338" s="18"/>
      <c r="AQ338" s="18"/>
      <c r="AR338" s="51">
        <v>43102</v>
      </c>
      <c r="AS338" s="18" t="s">
        <v>1085</v>
      </c>
      <c r="AT338" s="51">
        <v>43102</v>
      </c>
      <c r="AU338" s="79" t="s">
        <v>1092</v>
      </c>
    </row>
    <row r="339" spans="1:47" ht="116.25" thickTop="1" thickBot="1" x14ac:dyDescent="0.3">
      <c r="A339" s="249">
        <v>34</v>
      </c>
      <c r="B339" s="250" t="s">
        <v>1199</v>
      </c>
      <c r="C339" s="102" t="s">
        <v>1071</v>
      </c>
      <c r="D339" s="18" t="s">
        <v>286</v>
      </c>
      <c r="E339" s="102" t="s">
        <v>1080</v>
      </c>
      <c r="F339" s="18" t="s">
        <v>53</v>
      </c>
      <c r="G339" s="18" t="s">
        <v>54</v>
      </c>
      <c r="H339" s="25" t="s">
        <v>305</v>
      </c>
      <c r="I339" s="18" t="s">
        <v>56</v>
      </c>
      <c r="J339" s="18" t="s">
        <v>57</v>
      </c>
      <c r="K339" s="102">
        <v>801116</v>
      </c>
      <c r="L339" s="102" t="s">
        <v>1073</v>
      </c>
      <c r="M339" s="102" t="s">
        <v>1074</v>
      </c>
      <c r="N339" s="102" t="s">
        <v>1075</v>
      </c>
      <c r="O339" s="102" t="s">
        <v>1076</v>
      </c>
      <c r="P339" s="195" t="s">
        <v>1200</v>
      </c>
      <c r="Q339" s="202">
        <v>9520000</v>
      </c>
      <c r="R339" s="18">
        <v>1</v>
      </c>
      <c r="S339" s="203">
        <v>47600000</v>
      </c>
      <c r="T339" s="204" t="s">
        <v>900</v>
      </c>
      <c r="U339" s="18" t="s">
        <v>68</v>
      </c>
      <c r="V339" s="51">
        <v>43125</v>
      </c>
      <c r="W339" s="205">
        <v>5</v>
      </c>
      <c r="X339" s="40" t="s">
        <v>1201</v>
      </c>
      <c r="Y339" s="51">
        <v>43103</v>
      </c>
      <c r="Z339" s="110">
        <v>47600000</v>
      </c>
      <c r="AA339" s="110"/>
      <c r="AB339" s="18">
        <v>183</v>
      </c>
      <c r="AC339" s="51">
        <v>43105</v>
      </c>
      <c r="AD339" s="201">
        <v>47600000</v>
      </c>
      <c r="AE339" s="18"/>
      <c r="AF339" s="18">
        <v>434</v>
      </c>
      <c r="AG339" s="51">
        <v>43124</v>
      </c>
      <c r="AH339" s="211">
        <v>47600000</v>
      </c>
      <c r="AI339" s="110" t="s">
        <v>1202</v>
      </c>
      <c r="AJ339" s="18">
        <v>317</v>
      </c>
      <c r="AK339" s="18"/>
      <c r="AL339" s="201">
        <f t="shared" si="47"/>
        <v>47600000</v>
      </c>
      <c r="AM339" s="201">
        <v>20944000</v>
      </c>
      <c r="AN339" s="201">
        <f>AL339-AM339</f>
        <v>26656000</v>
      </c>
      <c r="AO339" s="18"/>
      <c r="AP339" s="18"/>
      <c r="AQ339" s="18"/>
      <c r="AR339" s="18" t="s">
        <v>1201</v>
      </c>
      <c r="AS339" s="18" t="s">
        <v>1085</v>
      </c>
      <c r="AT339" s="18" t="s">
        <v>1201</v>
      </c>
      <c r="AU339" s="79" t="s">
        <v>1092</v>
      </c>
    </row>
    <row r="340" spans="1:47" ht="103.5" thickTop="1" thickBot="1" x14ac:dyDescent="0.3">
      <c r="A340" s="249">
        <v>35</v>
      </c>
      <c r="B340" s="250" t="s">
        <v>1199</v>
      </c>
      <c r="C340" s="102" t="s">
        <v>1071</v>
      </c>
      <c r="D340" s="18" t="s">
        <v>286</v>
      </c>
      <c r="E340" s="102" t="s">
        <v>1080</v>
      </c>
      <c r="F340" s="18" t="s">
        <v>53</v>
      </c>
      <c r="G340" s="18" t="s">
        <v>54</v>
      </c>
      <c r="H340" s="25" t="s">
        <v>305</v>
      </c>
      <c r="I340" s="18" t="s">
        <v>56</v>
      </c>
      <c r="J340" s="18" t="s">
        <v>57</v>
      </c>
      <c r="K340" s="102">
        <v>801116</v>
      </c>
      <c r="L340" s="102" t="s">
        <v>1073</v>
      </c>
      <c r="M340" s="102" t="s">
        <v>1074</v>
      </c>
      <c r="N340" s="102" t="s">
        <v>1075</v>
      </c>
      <c r="O340" s="102" t="s">
        <v>1076</v>
      </c>
      <c r="P340" s="195" t="s">
        <v>1203</v>
      </c>
      <c r="Q340" s="202">
        <v>9805600</v>
      </c>
      <c r="R340" s="18">
        <v>1</v>
      </c>
      <c r="S340" s="203">
        <v>58833600</v>
      </c>
      <c r="T340" s="204" t="s">
        <v>900</v>
      </c>
      <c r="U340" s="18" t="s">
        <v>68</v>
      </c>
      <c r="V340" s="51">
        <v>43125</v>
      </c>
      <c r="W340" s="205">
        <v>6</v>
      </c>
      <c r="X340" s="40"/>
      <c r="Y340" s="51"/>
      <c r="Z340" s="110">
        <f>+S340</f>
        <v>58833600</v>
      </c>
      <c r="AA340" s="110"/>
      <c r="AB340" s="18"/>
      <c r="AC340" s="18"/>
      <c r="AD340" s="18"/>
      <c r="AE340" s="18"/>
      <c r="AF340" s="18"/>
      <c r="AG340" s="18"/>
      <c r="AH340" s="105"/>
      <c r="AI340" s="110" t="s">
        <v>1202</v>
      </c>
      <c r="AJ340" s="18"/>
      <c r="AK340" s="18"/>
      <c r="AL340" s="201"/>
      <c r="AM340" s="201"/>
      <c r="AN340" s="18"/>
      <c r="AO340" s="18"/>
      <c r="AP340" s="18"/>
      <c r="AQ340" s="18"/>
      <c r="AR340" s="18"/>
      <c r="AS340" s="18"/>
      <c r="AT340" s="18"/>
      <c r="AU340" s="79"/>
    </row>
    <row r="341" spans="1:47" ht="103.5" thickTop="1" thickBot="1" x14ac:dyDescent="0.3">
      <c r="A341" s="249">
        <v>36</v>
      </c>
      <c r="B341" s="250" t="s">
        <v>1204</v>
      </c>
      <c r="C341" s="102" t="s">
        <v>1071</v>
      </c>
      <c r="D341" s="18" t="s">
        <v>286</v>
      </c>
      <c r="E341" s="102" t="s">
        <v>1072</v>
      </c>
      <c r="F341" s="18" t="s">
        <v>53</v>
      </c>
      <c r="G341" s="18" t="s">
        <v>54</v>
      </c>
      <c r="H341" s="25" t="s">
        <v>305</v>
      </c>
      <c r="I341" s="18" t="s">
        <v>56</v>
      </c>
      <c r="J341" s="18" t="s">
        <v>57</v>
      </c>
      <c r="K341" s="102">
        <v>801116</v>
      </c>
      <c r="L341" s="102" t="s">
        <v>1073</v>
      </c>
      <c r="M341" s="102" t="s">
        <v>1074</v>
      </c>
      <c r="N341" s="102" t="s">
        <v>1075</v>
      </c>
      <c r="O341" s="102" t="s">
        <v>1076</v>
      </c>
      <c r="P341" s="195" t="s">
        <v>1088</v>
      </c>
      <c r="Q341" s="202">
        <v>6695000</v>
      </c>
      <c r="R341" s="18">
        <v>1</v>
      </c>
      <c r="S341" s="203">
        <v>73645000</v>
      </c>
      <c r="T341" s="204" t="s">
        <v>900</v>
      </c>
      <c r="U341" s="18" t="s">
        <v>68</v>
      </c>
      <c r="V341" s="51">
        <v>43125</v>
      </c>
      <c r="W341" s="205">
        <v>11</v>
      </c>
      <c r="X341" s="40" t="s">
        <v>1205</v>
      </c>
      <c r="Y341" s="51">
        <v>43103</v>
      </c>
      <c r="Z341" s="201">
        <v>73645000</v>
      </c>
      <c r="AA341" s="110"/>
      <c r="AB341" s="18">
        <v>185</v>
      </c>
      <c r="AC341" s="51">
        <v>43105</v>
      </c>
      <c r="AD341" s="201">
        <v>73645000</v>
      </c>
      <c r="AE341" s="110"/>
      <c r="AF341" s="18">
        <v>240</v>
      </c>
      <c r="AG341" s="51">
        <v>43119</v>
      </c>
      <c r="AH341" s="211">
        <v>73645000</v>
      </c>
      <c r="AI341" s="110" t="s">
        <v>1206</v>
      </c>
      <c r="AJ341" s="18">
        <v>221</v>
      </c>
      <c r="AK341" s="18"/>
      <c r="AL341" s="201">
        <f t="shared" ref="AL341:AL353" si="49">AH341</f>
        <v>73645000</v>
      </c>
      <c r="AM341" s="201">
        <v>15398500</v>
      </c>
      <c r="AN341" s="201">
        <f>AL341-AM341</f>
        <v>58246500</v>
      </c>
      <c r="AO341" s="18"/>
      <c r="AP341" s="18"/>
      <c r="AQ341" s="18"/>
      <c r="AR341" s="51">
        <v>43102</v>
      </c>
      <c r="AS341" s="18" t="s">
        <v>1085</v>
      </c>
      <c r="AT341" s="51">
        <v>43102</v>
      </c>
      <c r="AU341" s="79" t="s">
        <v>1092</v>
      </c>
    </row>
    <row r="342" spans="1:47" ht="103.5" thickTop="1" thickBot="1" x14ac:dyDescent="0.3">
      <c r="A342" s="249">
        <v>37</v>
      </c>
      <c r="B342" s="250" t="s">
        <v>1207</v>
      </c>
      <c r="C342" s="102" t="s">
        <v>1071</v>
      </c>
      <c r="D342" s="18" t="s">
        <v>286</v>
      </c>
      <c r="E342" s="102" t="s">
        <v>1080</v>
      </c>
      <c r="F342" s="18" t="s">
        <v>53</v>
      </c>
      <c r="G342" s="18" t="s">
        <v>54</v>
      </c>
      <c r="H342" s="25" t="s">
        <v>305</v>
      </c>
      <c r="I342" s="18" t="s">
        <v>56</v>
      </c>
      <c r="J342" s="18" t="s">
        <v>57</v>
      </c>
      <c r="K342" s="102">
        <v>801116</v>
      </c>
      <c r="L342" s="102" t="s">
        <v>1073</v>
      </c>
      <c r="M342" s="102" t="s">
        <v>1074</v>
      </c>
      <c r="N342" s="102" t="s">
        <v>1075</v>
      </c>
      <c r="O342" s="102" t="s">
        <v>1076</v>
      </c>
      <c r="P342" s="195" t="s">
        <v>1088</v>
      </c>
      <c r="Q342" s="202">
        <v>6695000</v>
      </c>
      <c r="R342" s="18">
        <v>1</v>
      </c>
      <c r="S342" s="203">
        <v>73645000</v>
      </c>
      <c r="T342" s="204" t="s">
        <v>900</v>
      </c>
      <c r="U342" s="18" t="s">
        <v>68</v>
      </c>
      <c r="V342" s="51">
        <v>43125</v>
      </c>
      <c r="W342" s="205">
        <v>11</v>
      </c>
      <c r="X342" s="40" t="s">
        <v>1208</v>
      </c>
      <c r="Y342" s="51">
        <v>43103</v>
      </c>
      <c r="Z342" s="201">
        <v>73645000</v>
      </c>
      <c r="AA342" s="110"/>
      <c r="AB342" s="18">
        <v>186</v>
      </c>
      <c r="AC342" s="51">
        <v>43105</v>
      </c>
      <c r="AD342" s="201">
        <v>73645000</v>
      </c>
      <c r="AE342" s="18"/>
      <c r="AF342" s="18">
        <v>5</v>
      </c>
      <c r="AG342" s="51">
        <v>43112</v>
      </c>
      <c r="AH342" s="211">
        <v>73645000</v>
      </c>
      <c r="AI342" s="110" t="s">
        <v>1209</v>
      </c>
      <c r="AJ342" s="18">
        <v>5</v>
      </c>
      <c r="AK342" s="18"/>
      <c r="AL342" s="201">
        <f t="shared" si="49"/>
        <v>73645000</v>
      </c>
      <c r="AM342" s="201">
        <v>17630167</v>
      </c>
      <c r="AN342" s="201">
        <f>AL342-AM342</f>
        <v>56014833</v>
      </c>
      <c r="AO342" s="18"/>
      <c r="AP342" s="18"/>
      <c r="AQ342" s="18"/>
      <c r="AR342" s="51">
        <v>43102</v>
      </c>
      <c r="AS342" s="18" t="s">
        <v>1085</v>
      </c>
      <c r="AT342" s="51">
        <v>43102</v>
      </c>
      <c r="AU342" s="79" t="s">
        <v>1092</v>
      </c>
    </row>
    <row r="343" spans="1:47" ht="103.5" thickTop="1" thickBot="1" x14ac:dyDescent="0.3">
      <c r="A343" s="249">
        <v>38</v>
      </c>
      <c r="B343" s="250" t="s">
        <v>1210</v>
      </c>
      <c r="C343" s="102" t="s">
        <v>1071</v>
      </c>
      <c r="D343" s="18" t="s">
        <v>286</v>
      </c>
      <c r="E343" s="102" t="s">
        <v>1072</v>
      </c>
      <c r="F343" s="18" t="s">
        <v>53</v>
      </c>
      <c r="G343" s="18" t="s">
        <v>54</v>
      </c>
      <c r="H343" s="25" t="s">
        <v>305</v>
      </c>
      <c r="I343" s="18" t="s">
        <v>56</v>
      </c>
      <c r="J343" s="18" t="s">
        <v>57</v>
      </c>
      <c r="K343" s="102">
        <v>801116</v>
      </c>
      <c r="L343" s="102" t="s">
        <v>1073</v>
      </c>
      <c r="M343" s="102" t="s">
        <v>1074</v>
      </c>
      <c r="N343" s="102" t="s">
        <v>1075</v>
      </c>
      <c r="O343" s="102" t="s">
        <v>1076</v>
      </c>
      <c r="P343" s="195" t="s">
        <v>1088</v>
      </c>
      <c r="Q343" s="202">
        <v>6695000</v>
      </c>
      <c r="R343" s="18">
        <v>1</v>
      </c>
      <c r="S343" s="203">
        <v>46865000</v>
      </c>
      <c r="T343" s="204" t="s">
        <v>900</v>
      </c>
      <c r="U343" s="18" t="s">
        <v>68</v>
      </c>
      <c r="V343" s="51">
        <v>43125</v>
      </c>
      <c r="W343" s="205">
        <v>7</v>
      </c>
      <c r="X343" s="40" t="s">
        <v>1211</v>
      </c>
      <c r="Y343" s="51">
        <v>43103</v>
      </c>
      <c r="Z343" s="201">
        <v>46865000</v>
      </c>
      <c r="AA343" s="110"/>
      <c r="AB343" s="18">
        <v>188</v>
      </c>
      <c r="AC343" s="51">
        <v>43105</v>
      </c>
      <c r="AD343" s="201">
        <v>46865000</v>
      </c>
      <c r="AE343" s="18"/>
      <c r="AF343" s="18">
        <v>143</v>
      </c>
      <c r="AG343" s="51">
        <v>43117</v>
      </c>
      <c r="AH343" s="211">
        <v>46865000</v>
      </c>
      <c r="AI343" s="110" t="s">
        <v>1212</v>
      </c>
      <c r="AJ343" s="18">
        <v>152</v>
      </c>
      <c r="AK343" s="18"/>
      <c r="AL343" s="201">
        <f t="shared" si="49"/>
        <v>46865000</v>
      </c>
      <c r="AM343" s="201">
        <v>16291167</v>
      </c>
      <c r="AN343" s="201">
        <f>AL343-AM343</f>
        <v>30573833</v>
      </c>
      <c r="AO343" s="18"/>
      <c r="AP343" s="18"/>
      <c r="AQ343" s="18"/>
      <c r="AR343" s="51">
        <v>43102</v>
      </c>
      <c r="AS343" s="18" t="s">
        <v>1085</v>
      </c>
      <c r="AT343" s="51">
        <v>43102</v>
      </c>
      <c r="AU343" s="79" t="s">
        <v>1092</v>
      </c>
    </row>
    <row r="344" spans="1:47" ht="103.5" thickTop="1" thickBot="1" x14ac:dyDescent="0.3">
      <c r="A344" s="249">
        <v>39</v>
      </c>
      <c r="B344" s="250" t="s">
        <v>1213</v>
      </c>
      <c r="C344" s="102" t="s">
        <v>1071</v>
      </c>
      <c r="D344" s="18" t="s">
        <v>286</v>
      </c>
      <c r="E344" s="102" t="s">
        <v>1072</v>
      </c>
      <c r="F344" s="18" t="s">
        <v>53</v>
      </c>
      <c r="G344" s="18" t="s">
        <v>54</v>
      </c>
      <c r="H344" s="25" t="s">
        <v>305</v>
      </c>
      <c r="I344" s="18" t="s">
        <v>56</v>
      </c>
      <c r="J344" s="18" t="s">
        <v>57</v>
      </c>
      <c r="K344" s="102">
        <v>801116</v>
      </c>
      <c r="L344" s="102" t="s">
        <v>1073</v>
      </c>
      <c r="M344" s="102" t="s">
        <v>1074</v>
      </c>
      <c r="N344" s="102" t="s">
        <v>1075</v>
      </c>
      <c r="O344" s="102" t="s">
        <v>1076</v>
      </c>
      <c r="P344" s="195" t="s">
        <v>1088</v>
      </c>
      <c r="Q344" s="202">
        <v>6695000</v>
      </c>
      <c r="R344" s="18">
        <v>1</v>
      </c>
      <c r="S344" s="203">
        <v>46865000</v>
      </c>
      <c r="T344" s="204" t="s">
        <v>900</v>
      </c>
      <c r="U344" s="18" t="s">
        <v>68</v>
      </c>
      <c r="V344" s="51">
        <v>43125</v>
      </c>
      <c r="W344" s="205">
        <v>7</v>
      </c>
      <c r="X344" s="40" t="s">
        <v>1214</v>
      </c>
      <c r="Y344" s="51">
        <v>43103</v>
      </c>
      <c r="Z344" s="201">
        <v>46865000</v>
      </c>
      <c r="AA344" s="110"/>
      <c r="AB344" s="18">
        <v>189</v>
      </c>
      <c r="AC344" s="51">
        <v>43105</v>
      </c>
      <c r="AD344" s="201">
        <v>46865000</v>
      </c>
      <c r="AE344" s="18"/>
      <c r="AF344" s="18">
        <v>32</v>
      </c>
      <c r="AG344" s="51">
        <v>43116</v>
      </c>
      <c r="AH344" s="211">
        <v>46865000</v>
      </c>
      <c r="AI344" s="110" t="s">
        <v>1215</v>
      </c>
      <c r="AJ344" s="18">
        <v>20</v>
      </c>
      <c r="AK344" s="18"/>
      <c r="AL344" s="201">
        <f t="shared" si="49"/>
        <v>46865000</v>
      </c>
      <c r="AM344" s="201">
        <v>16737500</v>
      </c>
      <c r="AN344" s="201">
        <f t="shared" ref="AN344:AN345" si="50">AL344-AM344</f>
        <v>30127500</v>
      </c>
      <c r="AO344" s="18"/>
      <c r="AP344" s="18"/>
      <c r="AQ344" s="18"/>
      <c r="AR344" s="51">
        <v>43102</v>
      </c>
      <c r="AS344" s="18" t="s">
        <v>1085</v>
      </c>
      <c r="AT344" s="51">
        <v>43102</v>
      </c>
      <c r="AU344" s="79" t="s">
        <v>1092</v>
      </c>
    </row>
    <row r="345" spans="1:47" ht="103.5" thickTop="1" thickBot="1" x14ac:dyDescent="0.3">
      <c r="A345" s="249">
        <v>40</v>
      </c>
      <c r="B345" s="250" t="s">
        <v>1216</v>
      </c>
      <c r="C345" s="102" t="s">
        <v>1071</v>
      </c>
      <c r="D345" s="18" t="s">
        <v>286</v>
      </c>
      <c r="E345" s="102" t="s">
        <v>1072</v>
      </c>
      <c r="F345" s="18" t="s">
        <v>53</v>
      </c>
      <c r="G345" s="18" t="s">
        <v>54</v>
      </c>
      <c r="H345" s="25" t="s">
        <v>305</v>
      </c>
      <c r="I345" s="18" t="s">
        <v>56</v>
      </c>
      <c r="J345" s="18" t="s">
        <v>57</v>
      </c>
      <c r="K345" s="102">
        <v>801116</v>
      </c>
      <c r="L345" s="102" t="s">
        <v>1073</v>
      </c>
      <c r="M345" s="102" t="s">
        <v>1074</v>
      </c>
      <c r="N345" s="102" t="s">
        <v>1075</v>
      </c>
      <c r="O345" s="102" t="s">
        <v>1076</v>
      </c>
      <c r="P345" s="195" t="s">
        <v>1088</v>
      </c>
      <c r="Q345" s="202">
        <v>5036700</v>
      </c>
      <c r="R345" s="18">
        <v>1</v>
      </c>
      <c r="S345" s="203">
        <v>35256900</v>
      </c>
      <c r="T345" s="204" t="s">
        <v>900</v>
      </c>
      <c r="U345" s="18" t="s">
        <v>68</v>
      </c>
      <c r="V345" s="51">
        <v>43125</v>
      </c>
      <c r="W345" s="205">
        <v>7</v>
      </c>
      <c r="X345" s="40" t="s">
        <v>1217</v>
      </c>
      <c r="Y345" s="51">
        <v>43103</v>
      </c>
      <c r="Z345" s="201">
        <v>35256900</v>
      </c>
      <c r="AA345" s="110"/>
      <c r="AB345" s="18">
        <v>190</v>
      </c>
      <c r="AC345" s="51">
        <v>43105</v>
      </c>
      <c r="AD345" s="201">
        <v>35256900</v>
      </c>
      <c r="AE345" s="18"/>
      <c r="AF345" s="18">
        <v>33</v>
      </c>
      <c r="AG345" s="51">
        <v>43116</v>
      </c>
      <c r="AH345" s="211">
        <v>35256900</v>
      </c>
      <c r="AI345" s="110" t="s">
        <v>1218</v>
      </c>
      <c r="AJ345" s="18">
        <v>23</v>
      </c>
      <c r="AK345" s="18"/>
      <c r="AL345" s="201">
        <f t="shared" si="49"/>
        <v>35256900</v>
      </c>
      <c r="AM345" s="201">
        <v>12591750</v>
      </c>
      <c r="AN345" s="201">
        <f t="shared" si="50"/>
        <v>22665150</v>
      </c>
      <c r="AO345" s="18"/>
      <c r="AP345" s="18"/>
      <c r="AQ345" s="18"/>
      <c r="AR345" s="51">
        <v>43102</v>
      </c>
      <c r="AS345" s="18" t="s">
        <v>1085</v>
      </c>
      <c r="AT345" s="51">
        <v>43102</v>
      </c>
      <c r="AU345" s="79" t="s">
        <v>1092</v>
      </c>
    </row>
    <row r="346" spans="1:47" ht="103.5" thickTop="1" thickBot="1" x14ac:dyDescent="0.3">
      <c r="A346" s="249">
        <v>41</v>
      </c>
      <c r="B346" s="250" t="s">
        <v>1219</v>
      </c>
      <c r="C346" s="102" t="s">
        <v>1071</v>
      </c>
      <c r="D346" s="18" t="s">
        <v>286</v>
      </c>
      <c r="E346" s="102" t="s">
        <v>1072</v>
      </c>
      <c r="F346" s="18" t="s">
        <v>53</v>
      </c>
      <c r="G346" s="18" t="s">
        <v>54</v>
      </c>
      <c r="H346" s="25" t="s">
        <v>305</v>
      </c>
      <c r="I346" s="18" t="s">
        <v>56</v>
      </c>
      <c r="J346" s="18" t="s">
        <v>57</v>
      </c>
      <c r="K346" s="102">
        <v>801116</v>
      </c>
      <c r="L346" s="102" t="s">
        <v>1073</v>
      </c>
      <c r="M346" s="102" t="s">
        <v>1074</v>
      </c>
      <c r="N346" s="102" t="s">
        <v>1075</v>
      </c>
      <c r="O346" s="102" t="s">
        <v>1076</v>
      </c>
      <c r="P346" s="195" t="s">
        <v>1220</v>
      </c>
      <c r="Q346" s="202">
        <v>4120000</v>
      </c>
      <c r="R346" s="18">
        <v>1</v>
      </c>
      <c r="S346" s="203">
        <v>28840000</v>
      </c>
      <c r="T346" s="204" t="s">
        <v>900</v>
      </c>
      <c r="U346" s="18" t="s">
        <v>68</v>
      </c>
      <c r="V346" s="51">
        <v>43125</v>
      </c>
      <c r="W346" s="205">
        <v>7</v>
      </c>
      <c r="X346" s="40" t="s">
        <v>1221</v>
      </c>
      <c r="Y346" s="51">
        <v>43103</v>
      </c>
      <c r="Z346" s="201">
        <v>28840000</v>
      </c>
      <c r="AA346" s="110"/>
      <c r="AB346" s="18">
        <v>191</v>
      </c>
      <c r="AC346" s="51">
        <v>43105</v>
      </c>
      <c r="AD346" s="201">
        <v>28840000</v>
      </c>
      <c r="AE346" s="18"/>
      <c r="AF346" s="18">
        <v>141</v>
      </c>
      <c r="AG346" s="51">
        <v>43117</v>
      </c>
      <c r="AH346" s="211">
        <v>28840000</v>
      </c>
      <c r="AI346" s="110" t="s">
        <v>1222</v>
      </c>
      <c r="AJ346" s="18">
        <v>151</v>
      </c>
      <c r="AK346" s="18"/>
      <c r="AL346" s="201">
        <f t="shared" si="49"/>
        <v>28840000</v>
      </c>
      <c r="AM346" s="201">
        <v>10025333</v>
      </c>
      <c r="AN346" s="201">
        <f>+AL346-AM346</f>
        <v>18814667</v>
      </c>
      <c r="AO346" s="18"/>
      <c r="AP346" s="18"/>
      <c r="AQ346" s="18"/>
      <c r="AR346" s="51">
        <v>43102</v>
      </c>
      <c r="AS346" s="18" t="s">
        <v>1085</v>
      </c>
      <c r="AT346" s="51">
        <v>43102</v>
      </c>
      <c r="AU346" s="79" t="s">
        <v>1092</v>
      </c>
    </row>
    <row r="347" spans="1:47" ht="103.5" thickTop="1" thickBot="1" x14ac:dyDescent="0.3">
      <c r="A347" s="249">
        <v>42</v>
      </c>
      <c r="B347" s="250" t="s">
        <v>1223</v>
      </c>
      <c r="C347" s="102" t="s">
        <v>1071</v>
      </c>
      <c r="D347" s="18" t="s">
        <v>286</v>
      </c>
      <c r="E347" s="102" t="s">
        <v>1080</v>
      </c>
      <c r="F347" s="18" t="s">
        <v>53</v>
      </c>
      <c r="G347" s="18" t="s">
        <v>54</v>
      </c>
      <c r="H347" s="25" t="s">
        <v>305</v>
      </c>
      <c r="I347" s="18" t="s">
        <v>56</v>
      </c>
      <c r="J347" s="18" t="s">
        <v>57</v>
      </c>
      <c r="K347" s="102">
        <v>801116</v>
      </c>
      <c r="L347" s="102" t="s">
        <v>1073</v>
      </c>
      <c r="M347" s="102" t="s">
        <v>1074</v>
      </c>
      <c r="N347" s="102" t="s">
        <v>1075</v>
      </c>
      <c r="O347" s="102" t="s">
        <v>1076</v>
      </c>
      <c r="P347" s="195" t="s">
        <v>1224</v>
      </c>
      <c r="Q347" s="202">
        <v>4120000</v>
      </c>
      <c r="R347" s="18">
        <v>1</v>
      </c>
      <c r="S347" s="203">
        <v>28840000</v>
      </c>
      <c r="T347" s="204" t="s">
        <v>900</v>
      </c>
      <c r="U347" s="18" t="s">
        <v>68</v>
      </c>
      <c r="V347" s="51">
        <v>43125</v>
      </c>
      <c r="W347" s="205">
        <v>7</v>
      </c>
      <c r="X347" s="40" t="s">
        <v>1225</v>
      </c>
      <c r="Y347" s="51">
        <v>43103</v>
      </c>
      <c r="Z347" s="201">
        <v>28840000</v>
      </c>
      <c r="AA347" s="110"/>
      <c r="AB347" s="18">
        <v>192</v>
      </c>
      <c r="AC347" s="51">
        <v>43105</v>
      </c>
      <c r="AD347" s="201">
        <v>28840000</v>
      </c>
      <c r="AE347" s="18"/>
      <c r="AF347" s="18">
        <v>34</v>
      </c>
      <c r="AG347" s="51">
        <v>43115</v>
      </c>
      <c r="AH347" s="211">
        <v>28840000</v>
      </c>
      <c r="AI347" s="110" t="s">
        <v>1226</v>
      </c>
      <c r="AJ347" s="18">
        <v>21</v>
      </c>
      <c r="AK347" s="18"/>
      <c r="AL347" s="201">
        <f t="shared" si="49"/>
        <v>28840000</v>
      </c>
      <c r="AM347" s="201">
        <v>10300000</v>
      </c>
      <c r="AN347" s="201">
        <f>AL347-AM347</f>
        <v>18540000</v>
      </c>
      <c r="AO347" s="18"/>
      <c r="AP347" s="18"/>
      <c r="AQ347" s="18"/>
      <c r="AR347" s="51">
        <v>43102</v>
      </c>
      <c r="AS347" s="18" t="s">
        <v>1085</v>
      </c>
      <c r="AT347" s="51">
        <v>43102</v>
      </c>
      <c r="AU347" s="79" t="s">
        <v>1092</v>
      </c>
    </row>
    <row r="348" spans="1:47" ht="103.5" thickTop="1" thickBot="1" x14ac:dyDescent="0.3">
      <c r="A348" s="249">
        <v>43</v>
      </c>
      <c r="B348" s="250" t="s">
        <v>1227</v>
      </c>
      <c r="C348" s="102" t="s">
        <v>1071</v>
      </c>
      <c r="D348" s="18" t="s">
        <v>286</v>
      </c>
      <c r="E348" s="102" t="s">
        <v>1080</v>
      </c>
      <c r="F348" s="18" t="s">
        <v>53</v>
      </c>
      <c r="G348" s="18" t="s">
        <v>54</v>
      </c>
      <c r="H348" s="25" t="s">
        <v>305</v>
      </c>
      <c r="I348" s="18" t="s">
        <v>56</v>
      </c>
      <c r="J348" s="18" t="s">
        <v>57</v>
      </c>
      <c r="K348" s="102">
        <v>801116</v>
      </c>
      <c r="L348" s="102" t="s">
        <v>1073</v>
      </c>
      <c r="M348" s="102" t="s">
        <v>1074</v>
      </c>
      <c r="N348" s="102" t="s">
        <v>1075</v>
      </c>
      <c r="O348" s="102" t="s">
        <v>1076</v>
      </c>
      <c r="P348" s="195" t="s">
        <v>1088</v>
      </c>
      <c r="Q348" s="202">
        <v>9805600</v>
      </c>
      <c r="R348" s="18">
        <v>1</v>
      </c>
      <c r="S348" s="203">
        <f>107861600-17221600</f>
        <v>90640000</v>
      </c>
      <c r="T348" s="204" t="s">
        <v>900</v>
      </c>
      <c r="U348" s="18" t="s">
        <v>68</v>
      </c>
      <c r="V348" s="51">
        <v>43125</v>
      </c>
      <c r="W348" s="205">
        <v>11</v>
      </c>
      <c r="X348" s="40" t="s">
        <v>1228</v>
      </c>
      <c r="Y348" s="51">
        <v>43103</v>
      </c>
      <c r="Z348" s="201">
        <v>107861600</v>
      </c>
      <c r="AA348" s="110"/>
      <c r="AB348" s="18">
        <v>193</v>
      </c>
      <c r="AC348" s="51">
        <v>43105</v>
      </c>
      <c r="AD348" s="201">
        <v>107861600</v>
      </c>
      <c r="AE348" s="18"/>
      <c r="AF348" s="18">
        <v>306</v>
      </c>
      <c r="AG348" s="51">
        <v>43122</v>
      </c>
      <c r="AH348" s="211">
        <v>90640000</v>
      </c>
      <c r="AI348" s="110" t="s">
        <v>1229</v>
      </c>
      <c r="AJ348" s="18">
        <v>279</v>
      </c>
      <c r="AK348" s="18"/>
      <c r="AL348" s="201">
        <f t="shared" si="49"/>
        <v>90640000</v>
      </c>
      <c r="AM348" s="201">
        <v>18677333</v>
      </c>
      <c r="AN348" s="201">
        <f>AL348-AM348</f>
        <v>71962667</v>
      </c>
      <c r="AO348" s="18"/>
      <c r="AP348" s="18"/>
      <c r="AQ348" s="18"/>
      <c r="AR348" s="51">
        <v>43102</v>
      </c>
      <c r="AS348" s="18" t="s">
        <v>1085</v>
      </c>
      <c r="AT348" s="51">
        <v>43102</v>
      </c>
      <c r="AU348" s="79" t="s">
        <v>1092</v>
      </c>
    </row>
    <row r="349" spans="1:47" ht="103.5" thickTop="1" thickBot="1" x14ac:dyDescent="0.3">
      <c r="A349" s="249">
        <v>44</v>
      </c>
      <c r="B349" s="250" t="s">
        <v>1230</v>
      </c>
      <c r="C349" s="102" t="s">
        <v>1071</v>
      </c>
      <c r="D349" s="18" t="s">
        <v>286</v>
      </c>
      <c r="E349" s="102" t="s">
        <v>1072</v>
      </c>
      <c r="F349" s="18" t="s">
        <v>53</v>
      </c>
      <c r="G349" s="18" t="s">
        <v>54</v>
      </c>
      <c r="H349" s="25" t="s">
        <v>305</v>
      </c>
      <c r="I349" s="18" t="s">
        <v>56</v>
      </c>
      <c r="J349" s="18" t="s">
        <v>57</v>
      </c>
      <c r="K349" s="102">
        <v>801116</v>
      </c>
      <c r="L349" s="102" t="s">
        <v>1073</v>
      </c>
      <c r="M349" s="102" t="s">
        <v>1074</v>
      </c>
      <c r="N349" s="102" t="s">
        <v>1075</v>
      </c>
      <c r="O349" s="102" t="s">
        <v>1076</v>
      </c>
      <c r="P349" s="195" t="s">
        <v>1088</v>
      </c>
      <c r="Q349" s="202">
        <v>5253000</v>
      </c>
      <c r="R349" s="18">
        <v>1</v>
      </c>
      <c r="S349" s="203">
        <v>42024000</v>
      </c>
      <c r="T349" s="204" t="s">
        <v>900</v>
      </c>
      <c r="U349" s="18" t="s">
        <v>68</v>
      </c>
      <c r="V349" s="51">
        <v>43125</v>
      </c>
      <c r="W349" s="205">
        <v>8</v>
      </c>
      <c r="X349" s="40" t="s">
        <v>1231</v>
      </c>
      <c r="Y349" s="51">
        <v>43103</v>
      </c>
      <c r="Z349" s="201">
        <v>42024000</v>
      </c>
      <c r="AA349" s="110"/>
      <c r="AB349" s="18">
        <v>194</v>
      </c>
      <c r="AC349" s="51">
        <v>43105</v>
      </c>
      <c r="AD349" s="201">
        <v>42024000</v>
      </c>
      <c r="AE349" s="18"/>
      <c r="AF349" s="18">
        <v>62</v>
      </c>
      <c r="AG349" s="51">
        <v>43116</v>
      </c>
      <c r="AH349" s="211">
        <v>42024000</v>
      </c>
      <c r="AI349" s="110" t="s">
        <v>1232</v>
      </c>
      <c r="AJ349" s="18">
        <v>27</v>
      </c>
      <c r="AK349" s="18"/>
      <c r="AL349" s="201">
        <f t="shared" si="49"/>
        <v>42024000</v>
      </c>
      <c r="AM349" s="201">
        <v>13132500</v>
      </c>
      <c r="AN349" s="201">
        <f>AL349-AM349</f>
        <v>28891500</v>
      </c>
      <c r="AO349" s="18"/>
      <c r="AP349" s="18"/>
      <c r="AQ349" s="18"/>
      <c r="AR349" s="51">
        <v>43102</v>
      </c>
      <c r="AS349" s="18" t="s">
        <v>1085</v>
      </c>
      <c r="AT349" s="51">
        <v>43102</v>
      </c>
      <c r="AU349" s="79" t="s">
        <v>1092</v>
      </c>
    </row>
    <row r="350" spans="1:47" ht="103.5" thickTop="1" thickBot="1" x14ac:dyDescent="0.3">
      <c r="A350" s="249">
        <v>45</v>
      </c>
      <c r="B350" s="250" t="s">
        <v>1233</v>
      </c>
      <c r="C350" s="102" t="s">
        <v>1071</v>
      </c>
      <c r="D350" s="18" t="s">
        <v>286</v>
      </c>
      <c r="E350" s="102" t="s">
        <v>1080</v>
      </c>
      <c r="F350" s="18" t="s">
        <v>53</v>
      </c>
      <c r="G350" s="18" t="s">
        <v>54</v>
      </c>
      <c r="H350" s="25" t="s">
        <v>305</v>
      </c>
      <c r="I350" s="18" t="s">
        <v>56</v>
      </c>
      <c r="J350" s="18" t="s">
        <v>57</v>
      </c>
      <c r="K350" s="102">
        <v>801116</v>
      </c>
      <c r="L350" s="102" t="s">
        <v>1073</v>
      </c>
      <c r="M350" s="102" t="s">
        <v>1074</v>
      </c>
      <c r="N350" s="102" t="s">
        <v>1075</v>
      </c>
      <c r="O350" s="102" t="s">
        <v>1076</v>
      </c>
      <c r="P350" s="195" t="s">
        <v>1088</v>
      </c>
      <c r="Q350" s="202">
        <v>5253000</v>
      </c>
      <c r="R350" s="18">
        <v>1</v>
      </c>
      <c r="S350" s="203">
        <v>57783000</v>
      </c>
      <c r="T350" s="204" t="s">
        <v>900</v>
      </c>
      <c r="U350" s="18" t="s">
        <v>68</v>
      </c>
      <c r="V350" s="51">
        <v>43125</v>
      </c>
      <c r="W350" s="205">
        <v>11</v>
      </c>
      <c r="X350" s="40" t="s">
        <v>1234</v>
      </c>
      <c r="Y350" s="51">
        <v>43103</v>
      </c>
      <c r="Z350" s="201">
        <v>57783000</v>
      </c>
      <c r="AA350" s="110"/>
      <c r="AB350" s="18">
        <v>195</v>
      </c>
      <c r="AC350" s="51">
        <v>43105</v>
      </c>
      <c r="AD350" s="201">
        <v>57783000</v>
      </c>
      <c r="AE350" s="18"/>
      <c r="AF350" s="18">
        <v>65</v>
      </c>
      <c r="AG350" s="51">
        <v>43116</v>
      </c>
      <c r="AH350" s="211">
        <v>57783000</v>
      </c>
      <c r="AI350" s="110" t="s">
        <v>1235</v>
      </c>
      <c r="AJ350" s="18">
        <v>30</v>
      </c>
      <c r="AK350" s="18"/>
      <c r="AL350" s="201">
        <f t="shared" si="49"/>
        <v>57783000</v>
      </c>
      <c r="AM350" s="201">
        <v>13132500</v>
      </c>
      <c r="AN350" s="201">
        <f t="shared" ref="AN350:AN351" si="51">AL350-AM350</f>
        <v>44650500</v>
      </c>
      <c r="AO350" s="18"/>
      <c r="AP350" s="18"/>
      <c r="AQ350" s="18"/>
      <c r="AR350" s="51">
        <v>43102</v>
      </c>
      <c r="AS350" s="18" t="s">
        <v>1085</v>
      </c>
      <c r="AT350" s="51">
        <v>43102</v>
      </c>
      <c r="AU350" s="79" t="s">
        <v>1092</v>
      </c>
    </row>
    <row r="351" spans="1:47" ht="103.5" thickTop="1" thickBot="1" x14ac:dyDescent="0.3">
      <c r="A351" s="249">
        <v>46</v>
      </c>
      <c r="B351" s="250" t="s">
        <v>1236</v>
      </c>
      <c r="C351" s="102" t="s">
        <v>1071</v>
      </c>
      <c r="D351" s="18" t="s">
        <v>286</v>
      </c>
      <c r="E351" s="102" t="s">
        <v>1072</v>
      </c>
      <c r="F351" s="18" t="s">
        <v>53</v>
      </c>
      <c r="G351" s="18" t="s">
        <v>54</v>
      </c>
      <c r="H351" s="25" t="s">
        <v>305</v>
      </c>
      <c r="I351" s="18" t="s">
        <v>56</v>
      </c>
      <c r="J351" s="18" t="s">
        <v>57</v>
      </c>
      <c r="K351" s="102">
        <v>801116</v>
      </c>
      <c r="L351" s="102" t="s">
        <v>1073</v>
      </c>
      <c r="M351" s="102" t="s">
        <v>1074</v>
      </c>
      <c r="N351" s="102" t="s">
        <v>1075</v>
      </c>
      <c r="O351" s="102" t="s">
        <v>1076</v>
      </c>
      <c r="P351" s="195" t="s">
        <v>1088</v>
      </c>
      <c r="Q351" s="202">
        <v>5665000</v>
      </c>
      <c r="R351" s="18">
        <v>1</v>
      </c>
      <c r="S351" s="203">
        <v>62315000</v>
      </c>
      <c r="T351" s="204" t="s">
        <v>900</v>
      </c>
      <c r="U351" s="18" t="s">
        <v>68</v>
      </c>
      <c r="V351" s="51">
        <v>43125</v>
      </c>
      <c r="W351" s="205">
        <v>11</v>
      </c>
      <c r="X351" s="40" t="s">
        <v>1237</v>
      </c>
      <c r="Y351" s="51">
        <v>43103</v>
      </c>
      <c r="Z351" s="201">
        <v>62315000</v>
      </c>
      <c r="AA351" s="110"/>
      <c r="AB351" s="18">
        <v>196</v>
      </c>
      <c r="AC351" s="51">
        <v>43105</v>
      </c>
      <c r="AD351" s="201">
        <v>62315000</v>
      </c>
      <c r="AE351" s="18"/>
      <c r="AF351" s="18">
        <v>77</v>
      </c>
      <c r="AG351" s="51">
        <v>43116</v>
      </c>
      <c r="AH351" s="211">
        <v>62315000</v>
      </c>
      <c r="AI351" s="110" t="s">
        <v>1238</v>
      </c>
      <c r="AJ351" s="18">
        <v>69</v>
      </c>
      <c r="AK351" s="18"/>
      <c r="AL351" s="201">
        <f t="shared" si="49"/>
        <v>62315000</v>
      </c>
      <c r="AM351" s="201">
        <v>13973667</v>
      </c>
      <c r="AN351" s="201">
        <f t="shared" si="51"/>
        <v>48341333</v>
      </c>
      <c r="AO351" s="18"/>
      <c r="AP351" s="18"/>
      <c r="AQ351" s="18"/>
      <c r="AR351" s="51">
        <v>43102</v>
      </c>
      <c r="AS351" s="18" t="s">
        <v>1085</v>
      </c>
      <c r="AT351" s="51">
        <v>43102</v>
      </c>
      <c r="AU351" s="79" t="s">
        <v>1092</v>
      </c>
    </row>
    <row r="352" spans="1:47" ht="141.75" thickTop="1" thickBot="1" x14ac:dyDescent="0.3">
      <c r="A352" s="249">
        <v>47</v>
      </c>
      <c r="B352" s="250" t="s">
        <v>1239</v>
      </c>
      <c r="C352" s="102" t="s">
        <v>1071</v>
      </c>
      <c r="D352" s="18" t="s">
        <v>286</v>
      </c>
      <c r="E352" s="102" t="s">
        <v>1082</v>
      </c>
      <c r="F352" s="18" t="s">
        <v>53</v>
      </c>
      <c r="G352" s="18" t="s">
        <v>54</v>
      </c>
      <c r="H352" s="25" t="s">
        <v>305</v>
      </c>
      <c r="I352" s="18" t="s">
        <v>56</v>
      </c>
      <c r="J352" s="18" t="s">
        <v>57</v>
      </c>
      <c r="K352" s="102">
        <v>801116</v>
      </c>
      <c r="L352" s="102" t="s">
        <v>1073</v>
      </c>
      <c r="M352" s="102" t="s">
        <v>1074</v>
      </c>
      <c r="N352" s="102" t="s">
        <v>1075</v>
      </c>
      <c r="O352" s="102" t="s">
        <v>1076</v>
      </c>
      <c r="P352" s="195" t="s">
        <v>1240</v>
      </c>
      <c r="Q352" s="202">
        <v>7210000</v>
      </c>
      <c r="R352" s="18">
        <v>1</v>
      </c>
      <c r="S352" s="203">
        <v>79310000</v>
      </c>
      <c r="T352" s="204" t="s">
        <v>900</v>
      </c>
      <c r="U352" s="18" t="s">
        <v>68</v>
      </c>
      <c r="V352" s="51">
        <v>43125</v>
      </c>
      <c r="W352" s="205">
        <v>11</v>
      </c>
      <c r="X352" s="40" t="s">
        <v>1241</v>
      </c>
      <c r="Y352" s="51">
        <v>43103</v>
      </c>
      <c r="Z352" s="201">
        <v>79310000</v>
      </c>
      <c r="AA352" s="110"/>
      <c r="AB352" s="18">
        <v>197</v>
      </c>
      <c r="AC352" s="51">
        <v>43105</v>
      </c>
      <c r="AD352" s="201">
        <v>79310000</v>
      </c>
      <c r="AE352" s="18"/>
      <c r="AF352" s="18">
        <v>174</v>
      </c>
      <c r="AG352" s="51">
        <v>43118</v>
      </c>
      <c r="AH352" s="211">
        <v>79310000</v>
      </c>
      <c r="AI352" s="110" t="s">
        <v>1242</v>
      </c>
      <c r="AJ352" s="18">
        <v>100</v>
      </c>
      <c r="AK352" s="18"/>
      <c r="AL352" s="201">
        <f t="shared" si="49"/>
        <v>79310000</v>
      </c>
      <c r="AM352" s="201">
        <v>17544333</v>
      </c>
      <c r="AN352" s="201">
        <f>AL352-AM352</f>
        <v>61765667</v>
      </c>
      <c r="AO352" s="18"/>
      <c r="AP352" s="18"/>
      <c r="AQ352" s="18"/>
      <c r="AR352" s="51">
        <v>43102</v>
      </c>
      <c r="AS352" s="18" t="s">
        <v>1085</v>
      </c>
      <c r="AT352" s="51">
        <v>43102</v>
      </c>
      <c r="AU352" s="79" t="s">
        <v>1092</v>
      </c>
    </row>
    <row r="353" spans="1:47" ht="167.25" thickTop="1" thickBot="1" x14ac:dyDescent="0.3">
      <c r="A353" s="249">
        <v>48</v>
      </c>
      <c r="B353" s="250" t="s">
        <v>1243</v>
      </c>
      <c r="C353" s="102" t="s">
        <v>1071</v>
      </c>
      <c r="D353" s="18" t="s">
        <v>286</v>
      </c>
      <c r="E353" s="102" t="s">
        <v>1072</v>
      </c>
      <c r="F353" s="18" t="s">
        <v>53</v>
      </c>
      <c r="G353" s="18" t="s">
        <v>54</v>
      </c>
      <c r="H353" s="25" t="s">
        <v>305</v>
      </c>
      <c r="I353" s="18" t="s">
        <v>56</v>
      </c>
      <c r="J353" s="18" t="s">
        <v>57</v>
      </c>
      <c r="K353" s="102">
        <v>801116</v>
      </c>
      <c r="L353" s="102" t="s">
        <v>1073</v>
      </c>
      <c r="M353" s="102" t="s">
        <v>1074</v>
      </c>
      <c r="N353" s="102" t="s">
        <v>1075</v>
      </c>
      <c r="O353" s="102" t="s">
        <v>1076</v>
      </c>
      <c r="P353" s="195" t="s">
        <v>1124</v>
      </c>
      <c r="Q353" s="202">
        <v>3038500</v>
      </c>
      <c r="R353" s="18">
        <v>1</v>
      </c>
      <c r="S353" s="203">
        <v>21269500</v>
      </c>
      <c r="T353" s="204" t="s">
        <v>934</v>
      </c>
      <c r="U353" s="18" t="s">
        <v>68</v>
      </c>
      <c r="V353" s="51">
        <v>43125</v>
      </c>
      <c r="W353" s="205">
        <v>7</v>
      </c>
      <c r="X353" s="40" t="s">
        <v>1244</v>
      </c>
      <c r="Y353" s="51">
        <v>43103</v>
      </c>
      <c r="Z353" s="201">
        <v>21269500</v>
      </c>
      <c r="AA353" s="110"/>
      <c r="AB353" s="18">
        <v>198</v>
      </c>
      <c r="AC353" s="51">
        <v>43105</v>
      </c>
      <c r="AD353" s="201">
        <v>21269500</v>
      </c>
      <c r="AE353" s="18"/>
      <c r="AF353" s="18">
        <v>472</v>
      </c>
      <c r="AG353" s="212">
        <v>43126</v>
      </c>
      <c r="AH353" s="211">
        <v>21269500</v>
      </c>
      <c r="AI353" s="110" t="s">
        <v>1245</v>
      </c>
      <c r="AJ353" s="18">
        <v>398</v>
      </c>
      <c r="AK353" s="18"/>
      <c r="AL353" s="201">
        <f t="shared" si="49"/>
        <v>21269500</v>
      </c>
      <c r="AM353" s="201">
        <v>6583417</v>
      </c>
      <c r="AN353" s="201">
        <f>+AL353-AM353</f>
        <v>14686083</v>
      </c>
      <c r="AO353" s="18"/>
      <c r="AP353" s="18"/>
      <c r="AQ353" s="18"/>
      <c r="AR353" s="51">
        <v>43102</v>
      </c>
      <c r="AS353" s="18" t="s">
        <v>1085</v>
      </c>
      <c r="AT353" s="51">
        <v>43102</v>
      </c>
      <c r="AU353" s="79" t="s">
        <v>1092</v>
      </c>
    </row>
    <row r="354" spans="1:47" ht="180" thickTop="1" thickBot="1" x14ac:dyDescent="0.3">
      <c r="A354" s="249">
        <v>49</v>
      </c>
      <c r="B354" s="250" t="s">
        <v>1246</v>
      </c>
      <c r="C354" s="102" t="s">
        <v>1071</v>
      </c>
      <c r="D354" s="18" t="s">
        <v>286</v>
      </c>
      <c r="E354" s="102" t="s">
        <v>1072</v>
      </c>
      <c r="F354" s="18" t="s">
        <v>53</v>
      </c>
      <c r="G354" s="18" t="s">
        <v>54</v>
      </c>
      <c r="H354" s="25" t="s">
        <v>305</v>
      </c>
      <c r="I354" s="18" t="s">
        <v>56</v>
      </c>
      <c r="J354" s="18" t="s">
        <v>57</v>
      </c>
      <c r="K354" s="102">
        <v>801116</v>
      </c>
      <c r="L354" s="102" t="s">
        <v>1073</v>
      </c>
      <c r="M354" s="102" t="s">
        <v>1074</v>
      </c>
      <c r="N354" s="102" t="s">
        <v>1075</v>
      </c>
      <c r="O354" s="102" t="s">
        <v>1076</v>
      </c>
      <c r="P354" s="195" t="s">
        <v>1247</v>
      </c>
      <c r="Q354" s="202">
        <v>3399000</v>
      </c>
      <c r="R354" s="18">
        <v>1</v>
      </c>
      <c r="S354" s="203">
        <v>37389000</v>
      </c>
      <c r="T354" s="204" t="s">
        <v>934</v>
      </c>
      <c r="U354" s="18" t="s">
        <v>68</v>
      </c>
      <c r="V354" s="51">
        <v>43125</v>
      </c>
      <c r="W354" s="205">
        <v>11</v>
      </c>
      <c r="X354" s="40" t="s">
        <v>1248</v>
      </c>
      <c r="Y354" s="51">
        <v>43103</v>
      </c>
      <c r="Z354" s="110">
        <v>37389000</v>
      </c>
      <c r="AA354" s="110"/>
      <c r="AB354" s="18">
        <v>209</v>
      </c>
      <c r="AC354" s="51">
        <v>43105</v>
      </c>
      <c r="AD354" s="201">
        <v>37389000</v>
      </c>
      <c r="AE354" s="18"/>
      <c r="AF354" s="18">
        <v>135</v>
      </c>
      <c r="AG354" s="51">
        <v>43117</v>
      </c>
      <c r="AH354" s="211">
        <v>37389000</v>
      </c>
      <c r="AI354" s="110" t="s">
        <v>1249</v>
      </c>
      <c r="AJ354" s="18"/>
      <c r="AK354" s="18"/>
      <c r="AL354" s="201">
        <v>37389000</v>
      </c>
      <c r="AM354" s="201">
        <v>8270900</v>
      </c>
      <c r="AN354" s="201">
        <f>AL354-AM354</f>
        <v>29118100</v>
      </c>
      <c r="AO354" s="18"/>
      <c r="AP354" s="18"/>
      <c r="AQ354" s="18"/>
      <c r="AR354" s="51">
        <v>43103</v>
      </c>
      <c r="AS354" s="18" t="s">
        <v>1085</v>
      </c>
      <c r="AT354" s="51">
        <v>43103</v>
      </c>
      <c r="AU354" s="79" t="s">
        <v>1092</v>
      </c>
    </row>
    <row r="355" spans="1:47" ht="103.5" thickTop="1" thickBot="1" x14ac:dyDescent="0.3">
      <c r="A355" s="251">
        <v>50</v>
      </c>
      <c r="B355" s="252" t="s">
        <v>1250</v>
      </c>
      <c r="C355" s="18" t="s">
        <v>1071</v>
      </c>
      <c r="D355" s="18" t="s">
        <v>286</v>
      </c>
      <c r="E355" s="18" t="s">
        <v>1072</v>
      </c>
      <c r="F355" s="18" t="s">
        <v>53</v>
      </c>
      <c r="G355" s="18" t="s">
        <v>54</v>
      </c>
      <c r="H355" s="25" t="s">
        <v>305</v>
      </c>
      <c r="I355" s="18" t="s">
        <v>56</v>
      </c>
      <c r="J355" s="18" t="s">
        <v>57</v>
      </c>
      <c r="K355" s="18">
        <v>801116</v>
      </c>
      <c r="L355" s="18" t="s">
        <v>1073</v>
      </c>
      <c r="M355" s="18" t="s">
        <v>1074</v>
      </c>
      <c r="N355" s="18" t="s">
        <v>1075</v>
      </c>
      <c r="O355" s="18" t="s">
        <v>1076</v>
      </c>
      <c r="P355" s="25" t="s">
        <v>1251</v>
      </c>
      <c r="Q355" s="203">
        <v>13184000</v>
      </c>
      <c r="R355" s="18">
        <v>1</v>
      </c>
      <c r="S355" s="203">
        <v>13184000</v>
      </c>
      <c r="T355" s="204" t="s">
        <v>900</v>
      </c>
      <c r="U355" s="18" t="s">
        <v>68</v>
      </c>
      <c r="V355" s="51">
        <v>43157</v>
      </c>
      <c r="W355" s="205">
        <v>1</v>
      </c>
      <c r="X355" s="40" t="s">
        <v>1252</v>
      </c>
      <c r="Y355" s="51"/>
      <c r="Z355" s="203">
        <v>13184000</v>
      </c>
      <c r="AA355" s="208"/>
      <c r="AB355" s="18">
        <v>753</v>
      </c>
      <c r="AC355" s="213">
        <v>43160</v>
      </c>
      <c r="AD355" s="203">
        <v>13184000</v>
      </c>
      <c r="AE355" s="208"/>
      <c r="AF355" s="208"/>
      <c r="AG355" s="208"/>
      <c r="AH355" s="208"/>
      <c r="AI355" s="208"/>
      <c r="AJ355" s="208"/>
      <c r="AK355" s="208"/>
      <c r="AL355" s="208"/>
      <c r="AM355" s="208"/>
      <c r="AN355" s="208"/>
      <c r="AO355" s="208"/>
      <c r="AP355" s="208"/>
      <c r="AQ355" s="18"/>
      <c r="AR355" s="51">
        <v>43154</v>
      </c>
      <c r="AS355" s="18" t="s">
        <v>1085</v>
      </c>
      <c r="AT355" s="51">
        <v>43157</v>
      </c>
      <c r="AU355" s="79" t="s">
        <v>1253</v>
      </c>
    </row>
    <row r="356" spans="1:47" ht="141.75" thickTop="1" thickBot="1" x14ac:dyDescent="0.3">
      <c r="A356" s="249">
        <v>51</v>
      </c>
      <c r="B356" s="250" t="s">
        <v>1254</v>
      </c>
      <c r="C356" s="102" t="s">
        <v>1071</v>
      </c>
      <c r="D356" s="18" t="s">
        <v>286</v>
      </c>
      <c r="E356" s="102" t="s">
        <v>1082</v>
      </c>
      <c r="F356" s="18" t="s">
        <v>53</v>
      </c>
      <c r="G356" s="18" t="s">
        <v>54</v>
      </c>
      <c r="H356" s="25" t="s">
        <v>305</v>
      </c>
      <c r="I356" s="18" t="s">
        <v>56</v>
      </c>
      <c r="J356" s="18" t="s">
        <v>57</v>
      </c>
      <c r="K356" s="102">
        <v>801116</v>
      </c>
      <c r="L356" s="102" t="s">
        <v>1073</v>
      </c>
      <c r="M356" s="102" t="s">
        <v>1074</v>
      </c>
      <c r="N356" s="102" t="s">
        <v>1075</v>
      </c>
      <c r="O356" s="102" t="s">
        <v>1076</v>
      </c>
      <c r="P356" s="195" t="s">
        <v>1135</v>
      </c>
      <c r="Q356" s="202">
        <v>4120000</v>
      </c>
      <c r="R356" s="18">
        <v>1</v>
      </c>
      <c r="S356" s="203">
        <v>45320000</v>
      </c>
      <c r="T356" s="204" t="s">
        <v>900</v>
      </c>
      <c r="U356" s="18" t="s">
        <v>68</v>
      </c>
      <c r="V356" s="51">
        <v>43125</v>
      </c>
      <c r="W356" s="205">
        <v>11</v>
      </c>
      <c r="X356" s="40" t="s">
        <v>1255</v>
      </c>
      <c r="Y356" s="51">
        <v>43103</v>
      </c>
      <c r="Z356" s="201">
        <v>45320000</v>
      </c>
      <c r="AA356" s="110"/>
      <c r="AB356" s="18">
        <v>203</v>
      </c>
      <c r="AC356" s="51">
        <v>43105</v>
      </c>
      <c r="AD356" s="203">
        <v>45320000</v>
      </c>
      <c r="AE356" s="18"/>
      <c r="AF356" s="18">
        <v>67</v>
      </c>
      <c r="AG356" s="51">
        <v>43116</v>
      </c>
      <c r="AH356" s="211">
        <v>45320000</v>
      </c>
      <c r="AI356" s="110" t="s">
        <v>1256</v>
      </c>
      <c r="AJ356" s="18">
        <v>32</v>
      </c>
      <c r="AK356" s="18"/>
      <c r="AL356" s="201">
        <f t="shared" ref="AL356:AL357" si="52">AH356</f>
        <v>45320000</v>
      </c>
      <c r="AM356" s="201">
        <v>10300000</v>
      </c>
      <c r="AN356" s="201">
        <f>AL356-AM356</f>
        <v>35020000</v>
      </c>
      <c r="AO356" s="18"/>
      <c r="AP356" s="18"/>
      <c r="AQ356" s="18"/>
      <c r="AR356" s="51">
        <v>43102</v>
      </c>
      <c r="AS356" s="18" t="s">
        <v>1085</v>
      </c>
      <c r="AT356" s="51">
        <v>43102</v>
      </c>
      <c r="AU356" s="79" t="s">
        <v>1092</v>
      </c>
    </row>
    <row r="357" spans="1:47" ht="167.25" thickTop="1" thickBot="1" x14ac:dyDescent="0.3">
      <c r="A357" s="249">
        <v>52</v>
      </c>
      <c r="B357" s="250" t="s">
        <v>1257</v>
      </c>
      <c r="C357" s="102" t="s">
        <v>1071</v>
      </c>
      <c r="D357" s="18" t="s">
        <v>286</v>
      </c>
      <c r="E357" s="102" t="s">
        <v>1082</v>
      </c>
      <c r="F357" s="18" t="s">
        <v>53</v>
      </c>
      <c r="G357" s="18" t="s">
        <v>54</v>
      </c>
      <c r="H357" s="25" t="s">
        <v>305</v>
      </c>
      <c r="I357" s="18" t="s">
        <v>56</v>
      </c>
      <c r="J357" s="18" t="s">
        <v>57</v>
      </c>
      <c r="K357" s="102">
        <v>801116</v>
      </c>
      <c r="L357" s="102" t="s">
        <v>1073</v>
      </c>
      <c r="M357" s="102" t="s">
        <v>1074</v>
      </c>
      <c r="N357" s="102" t="s">
        <v>1075</v>
      </c>
      <c r="O357" s="102" t="s">
        <v>1076</v>
      </c>
      <c r="P357" s="195" t="s">
        <v>1258</v>
      </c>
      <c r="Q357" s="202">
        <v>4120000</v>
      </c>
      <c r="R357" s="18">
        <v>1</v>
      </c>
      <c r="S357" s="203">
        <v>45320000</v>
      </c>
      <c r="T357" s="204" t="s">
        <v>900</v>
      </c>
      <c r="U357" s="18" t="s">
        <v>68</v>
      </c>
      <c r="V357" s="51">
        <v>43125</v>
      </c>
      <c r="W357" s="205">
        <v>11</v>
      </c>
      <c r="X357" s="40" t="s">
        <v>1259</v>
      </c>
      <c r="Y357" s="51">
        <v>43103</v>
      </c>
      <c r="Z357" s="201">
        <v>45320000</v>
      </c>
      <c r="AA357" s="110"/>
      <c r="AB357" s="18">
        <v>205</v>
      </c>
      <c r="AC357" s="51">
        <v>43105</v>
      </c>
      <c r="AD357" s="203">
        <v>45320000</v>
      </c>
      <c r="AE357" s="18"/>
      <c r="AF357" s="18">
        <v>284</v>
      </c>
      <c r="AG357" s="51">
        <v>43122</v>
      </c>
      <c r="AH357" s="211">
        <v>45320000</v>
      </c>
      <c r="AI357" s="110" t="s">
        <v>1260</v>
      </c>
      <c r="AJ357" s="18">
        <v>254</v>
      </c>
      <c r="AK357" s="18"/>
      <c r="AL357" s="201">
        <f t="shared" si="52"/>
        <v>45320000</v>
      </c>
      <c r="AM357" s="201">
        <v>9476000</v>
      </c>
      <c r="AN357" s="201">
        <f>AL357-AM357</f>
        <v>35844000</v>
      </c>
      <c r="AO357" s="18"/>
      <c r="AP357" s="18"/>
      <c r="AQ357" s="18"/>
      <c r="AR357" s="51">
        <v>43102</v>
      </c>
      <c r="AS357" s="18" t="s">
        <v>1085</v>
      </c>
      <c r="AT357" s="51">
        <v>43102</v>
      </c>
      <c r="AU357" s="79" t="s">
        <v>1092</v>
      </c>
    </row>
    <row r="358" spans="1:47" ht="141.75" thickTop="1" thickBot="1" x14ac:dyDescent="0.3">
      <c r="A358" s="249">
        <v>53</v>
      </c>
      <c r="B358" s="250" t="s">
        <v>1261</v>
      </c>
      <c r="C358" s="102" t="s">
        <v>1071</v>
      </c>
      <c r="D358" s="18" t="s">
        <v>286</v>
      </c>
      <c r="E358" s="102" t="s">
        <v>1082</v>
      </c>
      <c r="F358" s="18" t="s">
        <v>53</v>
      </c>
      <c r="G358" s="18" t="s">
        <v>54</v>
      </c>
      <c r="H358" s="25" t="s">
        <v>305</v>
      </c>
      <c r="I358" s="18" t="s">
        <v>56</v>
      </c>
      <c r="J358" s="18" t="s">
        <v>57</v>
      </c>
      <c r="K358" s="102">
        <v>801116</v>
      </c>
      <c r="L358" s="102" t="s">
        <v>1073</v>
      </c>
      <c r="M358" s="102" t="s">
        <v>1074</v>
      </c>
      <c r="N358" s="102" t="s">
        <v>1075</v>
      </c>
      <c r="O358" s="102" t="s">
        <v>1076</v>
      </c>
      <c r="P358" s="195" t="s">
        <v>1262</v>
      </c>
      <c r="Q358" s="202">
        <v>1259175</v>
      </c>
      <c r="R358" s="18">
        <v>1</v>
      </c>
      <c r="S358" s="203">
        <v>0</v>
      </c>
      <c r="T358" s="204" t="s">
        <v>900</v>
      </c>
      <c r="U358" s="18" t="s">
        <v>68</v>
      </c>
      <c r="V358" s="51">
        <v>43125</v>
      </c>
      <c r="W358" s="205">
        <v>11</v>
      </c>
      <c r="X358" s="206" t="s">
        <v>1263</v>
      </c>
      <c r="Y358" s="51">
        <v>43109</v>
      </c>
      <c r="Z358" s="208" t="s">
        <v>1090</v>
      </c>
      <c r="AA358" s="208" t="s">
        <v>1090</v>
      </c>
      <c r="AB358" s="208" t="s">
        <v>1090</v>
      </c>
      <c r="AC358" s="208" t="s">
        <v>1090</v>
      </c>
      <c r="AD358" s="203" t="s">
        <v>1090</v>
      </c>
      <c r="AE358" s="208" t="s">
        <v>1090</v>
      </c>
      <c r="AF358" s="208" t="s">
        <v>1090</v>
      </c>
      <c r="AG358" s="208" t="s">
        <v>1090</v>
      </c>
      <c r="AH358" s="209" t="s">
        <v>1090</v>
      </c>
      <c r="AI358" s="208" t="s">
        <v>1090</v>
      </c>
      <c r="AJ358" s="208" t="s">
        <v>1090</v>
      </c>
      <c r="AK358" s="208" t="s">
        <v>1090</v>
      </c>
      <c r="AL358" s="201"/>
      <c r="AM358" s="201"/>
      <c r="AN358" s="208" t="s">
        <v>1090</v>
      </c>
      <c r="AO358" s="208" t="s">
        <v>1090</v>
      </c>
      <c r="AP358" s="208" t="s">
        <v>1090</v>
      </c>
      <c r="AQ358" s="210" t="s">
        <v>1264</v>
      </c>
      <c r="AR358" s="207">
        <v>43109</v>
      </c>
      <c r="AS358" s="210" t="s">
        <v>1085</v>
      </c>
      <c r="AT358" s="207">
        <v>43109</v>
      </c>
      <c r="AU358" s="87" t="s">
        <v>1092</v>
      </c>
    </row>
    <row r="359" spans="1:47" ht="141.75" thickTop="1" thickBot="1" x14ac:dyDescent="0.3">
      <c r="A359" s="249">
        <v>54</v>
      </c>
      <c r="B359" s="250" t="s">
        <v>1265</v>
      </c>
      <c r="C359" s="102" t="s">
        <v>1071</v>
      </c>
      <c r="D359" s="18" t="s">
        <v>286</v>
      </c>
      <c r="E359" s="102" t="s">
        <v>1072</v>
      </c>
      <c r="F359" s="18" t="s">
        <v>53</v>
      </c>
      <c r="G359" s="18" t="s">
        <v>54</v>
      </c>
      <c r="H359" s="25" t="s">
        <v>305</v>
      </c>
      <c r="I359" s="18" t="s">
        <v>56</v>
      </c>
      <c r="J359" s="18" t="s">
        <v>57</v>
      </c>
      <c r="K359" s="102">
        <v>801116</v>
      </c>
      <c r="L359" s="102" t="s">
        <v>1073</v>
      </c>
      <c r="M359" s="102" t="s">
        <v>1074</v>
      </c>
      <c r="N359" s="102" t="s">
        <v>1075</v>
      </c>
      <c r="O359" s="102" t="s">
        <v>1076</v>
      </c>
      <c r="P359" s="195" t="s">
        <v>1266</v>
      </c>
      <c r="Q359" s="202">
        <v>1030000</v>
      </c>
      <c r="R359" s="18">
        <v>1</v>
      </c>
      <c r="S359" s="203">
        <v>0</v>
      </c>
      <c r="T359" s="204" t="s">
        <v>900</v>
      </c>
      <c r="U359" s="18" t="s">
        <v>68</v>
      </c>
      <c r="V359" s="51">
        <v>43125</v>
      </c>
      <c r="W359" s="205">
        <v>11</v>
      </c>
      <c r="X359" s="206" t="s">
        <v>1267</v>
      </c>
      <c r="Y359" s="51">
        <v>43109</v>
      </c>
      <c r="Z359" s="208" t="s">
        <v>1090</v>
      </c>
      <c r="AA359" s="208" t="s">
        <v>1090</v>
      </c>
      <c r="AB359" s="208" t="s">
        <v>1090</v>
      </c>
      <c r="AC359" s="208" t="s">
        <v>1090</v>
      </c>
      <c r="AD359" s="203" t="s">
        <v>1090</v>
      </c>
      <c r="AE359" s="208" t="s">
        <v>1090</v>
      </c>
      <c r="AF359" s="208" t="s">
        <v>1090</v>
      </c>
      <c r="AG359" s="208" t="s">
        <v>1090</v>
      </c>
      <c r="AH359" s="209" t="s">
        <v>1090</v>
      </c>
      <c r="AI359" s="208" t="s">
        <v>1090</v>
      </c>
      <c r="AJ359" s="208" t="s">
        <v>1090</v>
      </c>
      <c r="AK359" s="208" t="s">
        <v>1090</v>
      </c>
      <c r="AL359" s="201"/>
      <c r="AM359" s="201"/>
      <c r="AN359" s="208" t="s">
        <v>1090</v>
      </c>
      <c r="AO359" s="208" t="s">
        <v>1090</v>
      </c>
      <c r="AP359" s="208" t="s">
        <v>1090</v>
      </c>
      <c r="AQ359" s="210" t="s">
        <v>1268</v>
      </c>
      <c r="AR359" s="207">
        <v>43109</v>
      </c>
      <c r="AS359" s="210" t="s">
        <v>1085</v>
      </c>
      <c r="AT359" s="207">
        <v>43109</v>
      </c>
      <c r="AU359" s="87" t="s">
        <v>1092</v>
      </c>
    </row>
    <row r="360" spans="1:47" ht="141.75" thickTop="1" thickBot="1" x14ac:dyDescent="0.3">
      <c r="A360" s="249">
        <v>55</v>
      </c>
      <c r="B360" s="250" t="s">
        <v>1269</v>
      </c>
      <c r="C360" s="102" t="s">
        <v>1071</v>
      </c>
      <c r="D360" s="18" t="s">
        <v>286</v>
      </c>
      <c r="E360" s="102" t="s">
        <v>1082</v>
      </c>
      <c r="F360" s="18" t="s">
        <v>53</v>
      </c>
      <c r="G360" s="18" t="s">
        <v>54</v>
      </c>
      <c r="H360" s="25" t="s">
        <v>305</v>
      </c>
      <c r="I360" s="18" t="s">
        <v>56</v>
      </c>
      <c r="J360" s="18" t="s">
        <v>57</v>
      </c>
      <c r="K360" s="102">
        <v>801116</v>
      </c>
      <c r="L360" s="102" t="s">
        <v>1073</v>
      </c>
      <c r="M360" s="102" t="s">
        <v>1074</v>
      </c>
      <c r="N360" s="102" t="s">
        <v>1075</v>
      </c>
      <c r="O360" s="102" t="s">
        <v>1076</v>
      </c>
      <c r="P360" s="195" t="s">
        <v>359</v>
      </c>
      <c r="Q360" s="202">
        <v>2060000</v>
      </c>
      <c r="R360" s="18">
        <v>1</v>
      </c>
      <c r="S360" s="203">
        <v>22660000</v>
      </c>
      <c r="T360" s="204" t="s">
        <v>900</v>
      </c>
      <c r="U360" s="18" t="s">
        <v>68</v>
      </c>
      <c r="V360" s="51">
        <v>43125</v>
      </c>
      <c r="W360" s="205">
        <v>11</v>
      </c>
      <c r="X360" s="40" t="s">
        <v>1270</v>
      </c>
      <c r="Y360" s="51">
        <v>43103</v>
      </c>
      <c r="Z360" s="201">
        <v>22660000</v>
      </c>
      <c r="AA360" s="110"/>
      <c r="AB360" s="18">
        <v>207</v>
      </c>
      <c r="AC360" s="214">
        <v>43105</v>
      </c>
      <c r="AD360" s="203">
        <v>22660000</v>
      </c>
      <c r="AE360" s="18"/>
      <c r="AF360" s="18">
        <v>45</v>
      </c>
      <c r="AG360" s="214">
        <v>43116</v>
      </c>
      <c r="AH360" s="211">
        <v>22660000</v>
      </c>
      <c r="AI360" s="110" t="s">
        <v>360</v>
      </c>
      <c r="AJ360" s="18">
        <v>36</v>
      </c>
      <c r="AK360" s="18"/>
      <c r="AL360" s="201">
        <v>22660000</v>
      </c>
      <c r="AM360" s="201">
        <v>4120000</v>
      </c>
      <c r="AN360" s="201">
        <f>+AL360-AM360</f>
        <v>18540000</v>
      </c>
      <c r="AO360" s="18"/>
      <c r="AP360" s="18"/>
      <c r="AQ360" s="18"/>
      <c r="AR360" s="51">
        <v>43102</v>
      </c>
      <c r="AS360" s="18" t="s">
        <v>1085</v>
      </c>
      <c r="AT360" s="51">
        <v>43102</v>
      </c>
      <c r="AU360" s="79" t="s">
        <v>1092</v>
      </c>
    </row>
    <row r="361" spans="1:47" ht="141.75" thickTop="1" thickBot="1" x14ac:dyDescent="0.3">
      <c r="A361" s="249">
        <v>56</v>
      </c>
      <c r="B361" s="250" t="s">
        <v>1271</v>
      </c>
      <c r="C361" s="102" t="s">
        <v>1071</v>
      </c>
      <c r="D361" s="18" t="s">
        <v>286</v>
      </c>
      <c r="E361" s="102" t="s">
        <v>1082</v>
      </c>
      <c r="F361" s="18" t="s">
        <v>53</v>
      </c>
      <c r="G361" s="18" t="s">
        <v>54</v>
      </c>
      <c r="H361" s="25" t="s">
        <v>305</v>
      </c>
      <c r="I361" s="18" t="s">
        <v>56</v>
      </c>
      <c r="J361" s="18" t="s">
        <v>57</v>
      </c>
      <c r="K361" s="102">
        <v>801116</v>
      </c>
      <c r="L361" s="102" t="s">
        <v>1073</v>
      </c>
      <c r="M361" s="102" t="s">
        <v>1074</v>
      </c>
      <c r="N361" s="102" t="s">
        <v>1075</v>
      </c>
      <c r="O361" s="102" t="s">
        <v>1076</v>
      </c>
      <c r="P361" s="195" t="s">
        <v>1272</v>
      </c>
      <c r="Q361" s="202">
        <v>2060000</v>
      </c>
      <c r="R361" s="18">
        <v>1</v>
      </c>
      <c r="S361" s="203">
        <f>22660000-68667</f>
        <v>22591333</v>
      </c>
      <c r="T361" s="204" t="s">
        <v>900</v>
      </c>
      <c r="U361" s="18" t="s">
        <v>68</v>
      </c>
      <c r="V361" s="51">
        <v>43125</v>
      </c>
      <c r="W361" s="205">
        <v>11</v>
      </c>
      <c r="X361" s="40" t="s">
        <v>1273</v>
      </c>
      <c r="Y361" s="51">
        <v>43110</v>
      </c>
      <c r="Z361" s="201">
        <v>22591333</v>
      </c>
      <c r="AA361" s="110"/>
      <c r="AB361" s="18">
        <v>340</v>
      </c>
      <c r="AC361" s="51">
        <v>43110</v>
      </c>
      <c r="AD361" s="203">
        <v>22660000</v>
      </c>
      <c r="AE361" s="18"/>
      <c r="AF361" s="18">
        <v>153</v>
      </c>
      <c r="AG361" s="51">
        <v>43117</v>
      </c>
      <c r="AH361" s="211">
        <v>22591333</v>
      </c>
      <c r="AI361" s="110" t="s">
        <v>405</v>
      </c>
      <c r="AJ361" s="18">
        <v>155</v>
      </c>
      <c r="AK361" s="18"/>
      <c r="AL361" s="201">
        <v>22591333</v>
      </c>
      <c r="AM361" s="201">
        <v>5012666</v>
      </c>
      <c r="AN361" s="201">
        <f>AL361-AM361</f>
        <v>17578667</v>
      </c>
      <c r="AO361" s="18"/>
      <c r="AP361" s="18"/>
      <c r="AQ361" s="18"/>
      <c r="AR361" s="51">
        <v>43109</v>
      </c>
      <c r="AS361" s="18" t="s">
        <v>1085</v>
      </c>
      <c r="AT361" s="51">
        <v>43109</v>
      </c>
      <c r="AU361" s="79" t="s">
        <v>1092</v>
      </c>
    </row>
    <row r="362" spans="1:47" ht="141.75" thickTop="1" thickBot="1" x14ac:dyDescent="0.3">
      <c r="A362" s="249">
        <v>57</v>
      </c>
      <c r="B362" s="250" t="s">
        <v>1274</v>
      </c>
      <c r="C362" s="102" t="s">
        <v>1071</v>
      </c>
      <c r="D362" s="18" t="s">
        <v>286</v>
      </c>
      <c r="E362" s="102" t="s">
        <v>1082</v>
      </c>
      <c r="F362" s="18" t="s">
        <v>53</v>
      </c>
      <c r="G362" s="18" t="s">
        <v>54</v>
      </c>
      <c r="H362" s="25" t="s">
        <v>305</v>
      </c>
      <c r="I362" s="18" t="s">
        <v>56</v>
      </c>
      <c r="J362" s="18" t="s">
        <v>57</v>
      </c>
      <c r="K362" s="102">
        <v>801116</v>
      </c>
      <c r="L362" s="102" t="s">
        <v>1073</v>
      </c>
      <c r="M362" s="102" t="s">
        <v>1074</v>
      </c>
      <c r="N362" s="102" t="s">
        <v>1075</v>
      </c>
      <c r="O362" s="102" t="s">
        <v>1076</v>
      </c>
      <c r="P362" s="195" t="s">
        <v>402</v>
      </c>
      <c r="Q362" s="202">
        <v>915026</v>
      </c>
      <c r="R362" s="18">
        <v>1</v>
      </c>
      <c r="S362" s="203">
        <f>10065286-293161</f>
        <v>9772125</v>
      </c>
      <c r="T362" s="204" t="s">
        <v>900</v>
      </c>
      <c r="U362" s="18" t="s">
        <v>68</v>
      </c>
      <c r="V362" s="51">
        <v>43125</v>
      </c>
      <c r="W362" s="205">
        <v>11</v>
      </c>
      <c r="X362" s="40" t="s">
        <v>1275</v>
      </c>
      <c r="Y362" s="51">
        <v>43110</v>
      </c>
      <c r="Z362" s="110">
        <v>9772125</v>
      </c>
      <c r="AA362" s="110"/>
      <c r="AB362" s="18">
        <v>324</v>
      </c>
      <c r="AC362" s="51">
        <v>43110</v>
      </c>
      <c r="AD362" s="203">
        <v>10065286</v>
      </c>
      <c r="AE362" s="18"/>
      <c r="AF362" s="18">
        <v>292</v>
      </c>
      <c r="AG362" s="51">
        <v>43122</v>
      </c>
      <c r="AH362" s="211">
        <v>9772125</v>
      </c>
      <c r="AI362" s="110" t="s">
        <v>403</v>
      </c>
      <c r="AJ362" s="18">
        <v>261</v>
      </c>
      <c r="AK362" s="18"/>
      <c r="AL362" s="201">
        <f t="shared" ref="AL362" si="53">AH362</f>
        <v>9772125</v>
      </c>
      <c r="AM362" s="201">
        <v>2043262</v>
      </c>
      <c r="AN362" s="201">
        <f>+AL362-AM362</f>
        <v>7728863</v>
      </c>
      <c r="AO362" s="18"/>
      <c r="AP362" s="18"/>
      <c r="AQ362" s="18"/>
      <c r="AR362" s="51">
        <v>43109</v>
      </c>
      <c r="AS362" s="18" t="s">
        <v>1085</v>
      </c>
      <c r="AT362" s="51">
        <v>43109</v>
      </c>
      <c r="AU362" s="79" t="s">
        <v>1092</v>
      </c>
    </row>
    <row r="363" spans="1:47" ht="141.75" thickTop="1" thickBot="1" x14ac:dyDescent="0.3">
      <c r="A363" s="249">
        <v>58</v>
      </c>
      <c r="B363" s="250" t="s">
        <v>1276</v>
      </c>
      <c r="C363" s="102" t="s">
        <v>1071</v>
      </c>
      <c r="D363" s="18" t="s">
        <v>286</v>
      </c>
      <c r="E363" s="102" t="s">
        <v>1082</v>
      </c>
      <c r="F363" s="18" t="s">
        <v>53</v>
      </c>
      <c r="G363" s="18" t="s">
        <v>54</v>
      </c>
      <c r="H363" s="25" t="s">
        <v>305</v>
      </c>
      <c r="I363" s="18" t="s">
        <v>56</v>
      </c>
      <c r="J363" s="18" t="s">
        <v>57</v>
      </c>
      <c r="K363" s="102">
        <v>801116</v>
      </c>
      <c r="L363" s="102" t="s">
        <v>1073</v>
      </c>
      <c r="M363" s="102" t="s">
        <v>1074</v>
      </c>
      <c r="N363" s="102" t="s">
        <v>1075</v>
      </c>
      <c r="O363" s="102" t="s">
        <v>1076</v>
      </c>
      <c r="P363" s="195" t="s">
        <v>1277</v>
      </c>
      <c r="Q363" s="202">
        <v>2343635</v>
      </c>
      <c r="R363" s="18">
        <v>1</v>
      </c>
      <c r="S363" s="203">
        <v>9660489</v>
      </c>
      <c r="T363" s="204" t="s">
        <v>1278</v>
      </c>
      <c r="U363" s="18" t="s">
        <v>68</v>
      </c>
      <c r="V363" s="51">
        <v>43115</v>
      </c>
      <c r="W363" s="205">
        <v>11</v>
      </c>
      <c r="X363" s="40" t="s">
        <v>1279</v>
      </c>
      <c r="Y363" s="51">
        <v>43115</v>
      </c>
      <c r="Z363" s="110">
        <v>9660489</v>
      </c>
      <c r="AA363" s="110"/>
      <c r="AB363" s="18">
        <v>536</v>
      </c>
      <c r="AC363" s="51">
        <v>43118</v>
      </c>
      <c r="AD363" s="203">
        <v>9660489</v>
      </c>
      <c r="AE363" s="18"/>
      <c r="AF363" s="18" t="s">
        <v>1280</v>
      </c>
      <c r="AG363" s="51">
        <v>43136</v>
      </c>
      <c r="AH363" s="211">
        <v>2156100</v>
      </c>
      <c r="AI363" s="110" t="s">
        <v>1281</v>
      </c>
      <c r="AJ363" s="18">
        <v>2</v>
      </c>
      <c r="AK363" s="18"/>
      <c r="AL363" s="201">
        <v>1227000</v>
      </c>
      <c r="AM363" s="201">
        <v>2156100</v>
      </c>
      <c r="AN363" s="201">
        <v>0</v>
      </c>
      <c r="AO363" s="18"/>
      <c r="AP363" s="18"/>
      <c r="AQ363" s="18"/>
      <c r="AR363" s="51">
        <v>43115</v>
      </c>
      <c r="AS363" s="18" t="s">
        <v>1085</v>
      </c>
      <c r="AT363" s="51">
        <v>43115</v>
      </c>
      <c r="AU363" s="79" t="s">
        <v>1092</v>
      </c>
    </row>
    <row r="364" spans="1:47" ht="141.75" thickTop="1" thickBot="1" x14ac:dyDescent="0.3">
      <c r="A364" s="249">
        <v>59</v>
      </c>
      <c r="B364" s="250" t="s">
        <v>1282</v>
      </c>
      <c r="C364" s="102" t="s">
        <v>1071</v>
      </c>
      <c r="D364" s="18" t="s">
        <v>286</v>
      </c>
      <c r="E364" s="102" t="s">
        <v>1072</v>
      </c>
      <c r="F364" s="18" t="s">
        <v>186</v>
      </c>
      <c r="G364" s="18" t="s">
        <v>297</v>
      </c>
      <c r="H364" s="25" t="s">
        <v>939</v>
      </c>
      <c r="I364" s="18" t="s">
        <v>56</v>
      </c>
      <c r="J364" s="18" t="s">
        <v>57</v>
      </c>
      <c r="K364" s="102">
        <v>801116</v>
      </c>
      <c r="L364" s="18" t="s">
        <v>1073</v>
      </c>
      <c r="M364" s="18" t="s">
        <v>59</v>
      </c>
      <c r="N364" s="18" t="s">
        <v>60</v>
      </c>
      <c r="O364" s="18" t="s">
        <v>1283</v>
      </c>
      <c r="P364" s="195" t="s">
        <v>1284</v>
      </c>
      <c r="Q364" s="202">
        <v>3636363.6363636362</v>
      </c>
      <c r="R364" s="18">
        <v>1</v>
      </c>
      <c r="S364" s="203">
        <v>40000000</v>
      </c>
      <c r="T364" s="204" t="s">
        <v>1285</v>
      </c>
      <c r="U364" s="18" t="s">
        <v>199</v>
      </c>
      <c r="V364" s="51">
        <v>43348</v>
      </c>
      <c r="W364" s="205">
        <v>11</v>
      </c>
      <c r="X364" s="40"/>
      <c r="Y364" s="51"/>
      <c r="Z364" s="110"/>
      <c r="AA364" s="110"/>
      <c r="AB364" s="18"/>
      <c r="AC364" s="18"/>
      <c r="AD364" s="203"/>
      <c r="AE364" s="18"/>
      <c r="AF364" s="18"/>
      <c r="AG364" s="18"/>
      <c r="AH364" s="105"/>
      <c r="AI364" s="110" t="s">
        <v>1286</v>
      </c>
      <c r="AJ364" s="18"/>
      <c r="AK364" s="18"/>
      <c r="AL364" s="201"/>
      <c r="AM364" s="201"/>
      <c r="AN364" s="18"/>
      <c r="AO364" s="18"/>
      <c r="AP364" s="18"/>
      <c r="AQ364" s="18"/>
      <c r="AR364" s="18"/>
      <c r="AS364" s="18"/>
      <c r="AT364" s="18"/>
      <c r="AU364" s="79"/>
    </row>
    <row r="365" spans="1:47" ht="141.75" thickTop="1" thickBot="1" x14ac:dyDescent="0.3">
      <c r="A365" s="249">
        <v>60</v>
      </c>
      <c r="B365" s="250" t="s">
        <v>1287</v>
      </c>
      <c r="C365" s="102" t="s">
        <v>1071</v>
      </c>
      <c r="D365" s="18" t="s">
        <v>286</v>
      </c>
      <c r="E365" s="102" t="s">
        <v>1080</v>
      </c>
      <c r="F365" s="18" t="s">
        <v>186</v>
      </c>
      <c r="G365" s="18" t="s">
        <v>297</v>
      </c>
      <c r="H365" s="25" t="s">
        <v>939</v>
      </c>
      <c r="I365" s="18" t="s">
        <v>56</v>
      </c>
      <c r="J365" s="18" t="s">
        <v>57</v>
      </c>
      <c r="K365" s="102">
        <v>801116</v>
      </c>
      <c r="L365" s="18" t="s">
        <v>1073</v>
      </c>
      <c r="M365" s="18" t="s">
        <v>59</v>
      </c>
      <c r="N365" s="18" t="s">
        <v>60</v>
      </c>
      <c r="O365" s="18" t="s">
        <v>1283</v>
      </c>
      <c r="P365" s="195" t="s">
        <v>1284</v>
      </c>
      <c r="Q365" s="202">
        <v>2386363.6363636362</v>
      </c>
      <c r="R365" s="18">
        <v>1</v>
      </c>
      <c r="S365" s="203">
        <v>26250000</v>
      </c>
      <c r="T365" s="204" t="s">
        <v>1285</v>
      </c>
      <c r="U365" s="18" t="s">
        <v>199</v>
      </c>
      <c r="V365" s="51">
        <v>43348</v>
      </c>
      <c r="W365" s="205">
        <v>11</v>
      </c>
      <c r="X365" s="40"/>
      <c r="Y365" s="51"/>
      <c r="Z365" s="110"/>
      <c r="AA365" s="110"/>
      <c r="AB365" s="18"/>
      <c r="AC365" s="18"/>
      <c r="AD365" s="203"/>
      <c r="AE365" s="18"/>
      <c r="AF365" s="18"/>
      <c r="AG365" s="18"/>
      <c r="AH365" s="105"/>
      <c r="AI365" s="110" t="s">
        <v>1286</v>
      </c>
      <c r="AJ365" s="18"/>
      <c r="AK365" s="18"/>
      <c r="AL365" s="201"/>
      <c r="AM365" s="201"/>
      <c r="AN365" s="18"/>
      <c r="AO365" s="18"/>
      <c r="AP365" s="18"/>
      <c r="AQ365" s="18"/>
      <c r="AR365" s="18"/>
      <c r="AS365" s="18"/>
      <c r="AT365" s="18"/>
      <c r="AU365" s="79"/>
    </row>
    <row r="366" spans="1:47" ht="141.75" thickTop="1" thickBot="1" x14ac:dyDescent="0.3">
      <c r="A366" s="249">
        <v>61</v>
      </c>
      <c r="B366" s="250" t="s">
        <v>1288</v>
      </c>
      <c r="C366" s="102" t="s">
        <v>1071</v>
      </c>
      <c r="D366" s="18" t="s">
        <v>286</v>
      </c>
      <c r="E366" s="102" t="s">
        <v>1082</v>
      </c>
      <c r="F366" s="18" t="s">
        <v>186</v>
      </c>
      <c r="G366" s="18" t="s">
        <v>297</v>
      </c>
      <c r="H366" s="25" t="s">
        <v>939</v>
      </c>
      <c r="I366" s="18" t="s">
        <v>56</v>
      </c>
      <c r="J366" s="18" t="s">
        <v>57</v>
      </c>
      <c r="K366" s="102">
        <v>801116</v>
      </c>
      <c r="L366" s="18" t="s">
        <v>1073</v>
      </c>
      <c r="M366" s="18" t="s">
        <v>59</v>
      </c>
      <c r="N366" s="18" t="s">
        <v>60</v>
      </c>
      <c r="O366" s="18" t="s">
        <v>1283</v>
      </c>
      <c r="P366" s="195" t="s">
        <v>300</v>
      </c>
      <c r="Q366" s="202">
        <v>7386363.6363636367</v>
      </c>
      <c r="R366" s="18">
        <v>1</v>
      </c>
      <c r="S366" s="203">
        <v>81250000</v>
      </c>
      <c r="T366" s="204" t="s">
        <v>1289</v>
      </c>
      <c r="U366" s="18" t="s">
        <v>199</v>
      </c>
      <c r="V366" s="51">
        <v>43225</v>
      </c>
      <c r="W366" s="205">
        <v>11</v>
      </c>
      <c r="X366" s="40"/>
      <c r="Y366" s="51"/>
      <c r="Z366" s="110"/>
      <c r="AA366" s="110"/>
      <c r="AB366" s="18"/>
      <c r="AC366" s="18"/>
      <c r="AD366" s="203"/>
      <c r="AE366" s="18"/>
      <c r="AF366" s="18"/>
      <c r="AG366" s="18"/>
      <c r="AH366" s="105"/>
      <c r="AI366" s="110" t="s">
        <v>1290</v>
      </c>
      <c r="AJ366" s="18"/>
      <c r="AK366" s="18"/>
      <c r="AL366" s="201"/>
      <c r="AM366" s="201"/>
      <c r="AN366" s="18"/>
      <c r="AO366" s="18"/>
      <c r="AP366" s="18"/>
      <c r="AQ366" s="18"/>
      <c r="AR366" s="18"/>
      <c r="AS366" s="18"/>
      <c r="AT366" s="18"/>
      <c r="AU366" s="79"/>
    </row>
    <row r="367" spans="1:47" ht="180" thickTop="1" thickBot="1" x14ac:dyDescent="0.3">
      <c r="A367" s="249">
        <v>62</v>
      </c>
      <c r="B367" s="250" t="s">
        <v>1291</v>
      </c>
      <c r="C367" s="102" t="s">
        <v>1071</v>
      </c>
      <c r="D367" s="18" t="s">
        <v>286</v>
      </c>
      <c r="E367" s="102" t="s">
        <v>1072</v>
      </c>
      <c r="F367" s="18" t="s">
        <v>53</v>
      </c>
      <c r="G367" s="18" t="s">
        <v>54</v>
      </c>
      <c r="H367" s="25" t="s">
        <v>305</v>
      </c>
      <c r="I367" s="18" t="s">
        <v>56</v>
      </c>
      <c r="J367" s="18" t="s">
        <v>57</v>
      </c>
      <c r="K367" s="102">
        <v>801116</v>
      </c>
      <c r="L367" s="18" t="s">
        <v>1073</v>
      </c>
      <c r="M367" s="18" t="s">
        <v>59</v>
      </c>
      <c r="N367" s="18" t="s">
        <v>60</v>
      </c>
      <c r="O367" s="18" t="s">
        <v>1076</v>
      </c>
      <c r="P367" s="195" t="s">
        <v>1292</v>
      </c>
      <c r="Q367" s="202">
        <v>15000000</v>
      </c>
      <c r="R367" s="18">
        <v>1</v>
      </c>
      <c r="S367" s="203">
        <v>14999999.999999998</v>
      </c>
      <c r="T367" s="204" t="s">
        <v>1289</v>
      </c>
      <c r="U367" s="18" t="s">
        <v>1293</v>
      </c>
      <c r="V367" s="51">
        <v>43173</v>
      </c>
      <c r="W367" s="205">
        <v>1</v>
      </c>
      <c r="X367" s="40"/>
      <c r="Y367" s="51"/>
      <c r="Z367" s="110"/>
      <c r="AA367" s="110"/>
      <c r="AB367" s="18"/>
      <c r="AC367" s="18"/>
      <c r="AD367" s="203"/>
      <c r="AE367" s="18"/>
      <c r="AF367" s="18"/>
      <c r="AG367" s="18"/>
      <c r="AH367" s="105"/>
      <c r="AI367" s="110"/>
      <c r="AJ367" s="18"/>
      <c r="AK367" s="18"/>
      <c r="AL367" s="201"/>
      <c r="AM367" s="201"/>
      <c r="AN367" s="18"/>
      <c r="AO367" s="18"/>
      <c r="AP367" s="18"/>
      <c r="AQ367" s="18"/>
      <c r="AR367" s="18"/>
      <c r="AS367" s="18"/>
      <c r="AT367" s="18"/>
      <c r="AU367" s="79"/>
    </row>
    <row r="368" spans="1:47" ht="141.75" thickTop="1" thickBot="1" x14ac:dyDescent="0.3">
      <c r="A368" s="249">
        <v>63</v>
      </c>
      <c r="B368" s="250" t="s">
        <v>1294</v>
      </c>
      <c r="C368" s="102" t="s">
        <v>1071</v>
      </c>
      <c r="D368" s="18" t="s">
        <v>286</v>
      </c>
      <c r="E368" s="102" t="s">
        <v>1082</v>
      </c>
      <c r="F368" s="18" t="s">
        <v>1295</v>
      </c>
      <c r="G368" s="18" t="s">
        <v>1296</v>
      </c>
      <c r="H368" s="25" t="s">
        <v>1297</v>
      </c>
      <c r="I368" s="18" t="s">
        <v>1298</v>
      </c>
      <c r="J368" s="18" t="s">
        <v>1034</v>
      </c>
      <c r="K368" s="102">
        <v>801116</v>
      </c>
      <c r="L368" s="18" t="s">
        <v>1073</v>
      </c>
      <c r="M368" s="18" t="s">
        <v>59</v>
      </c>
      <c r="N368" s="18" t="s">
        <v>60</v>
      </c>
      <c r="O368" s="18" t="s">
        <v>1076</v>
      </c>
      <c r="P368" s="195" t="s">
        <v>1299</v>
      </c>
      <c r="Q368" s="202">
        <v>17018083.333333332</v>
      </c>
      <c r="R368" s="18">
        <v>1</v>
      </c>
      <c r="S368" s="203">
        <v>204217000</v>
      </c>
      <c r="T368" s="25" t="s">
        <v>1300</v>
      </c>
      <c r="U368" s="18" t="s">
        <v>199</v>
      </c>
      <c r="V368" s="51">
        <v>43291</v>
      </c>
      <c r="W368" s="205">
        <v>12</v>
      </c>
      <c r="X368" s="40"/>
      <c r="Y368" s="51"/>
      <c r="Z368" s="110"/>
      <c r="AA368" s="110"/>
      <c r="AB368" s="18"/>
      <c r="AC368" s="18"/>
      <c r="AD368" s="203"/>
      <c r="AE368" s="18"/>
      <c r="AF368" s="18"/>
      <c r="AG368" s="18"/>
      <c r="AH368" s="105"/>
      <c r="AI368" s="110" t="s">
        <v>1301</v>
      </c>
      <c r="AJ368" s="18"/>
      <c r="AK368" s="18"/>
      <c r="AL368" s="201"/>
      <c r="AM368" s="201"/>
      <c r="AN368" s="18"/>
      <c r="AO368" s="18"/>
      <c r="AP368" s="18"/>
      <c r="AQ368" s="18"/>
      <c r="AR368" s="18"/>
      <c r="AS368" s="18"/>
      <c r="AT368" s="18"/>
      <c r="AU368" s="79"/>
    </row>
    <row r="369" spans="1:47" ht="116.25" thickTop="1" thickBot="1" x14ac:dyDescent="0.3">
      <c r="A369" s="249">
        <v>64</v>
      </c>
      <c r="B369" s="250" t="s">
        <v>1302</v>
      </c>
      <c r="C369" s="102" t="s">
        <v>1071</v>
      </c>
      <c r="D369" s="18" t="s">
        <v>286</v>
      </c>
      <c r="E369" s="102" t="s">
        <v>1072</v>
      </c>
      <c r="F369" s="18" t="s">
        <v>53</v>
      </c>
      <c r="G369" s="18" t="s">
        <v>54</v>
      </c>
      <c r="H369" s="25" t="s">
        <v>305</v>
      </c>
      <c r="I369" s="18" t="s">
        <v>56</v>
      </c>
      <c r="J369" s="18" t="s">
        <v>57</v>
      </c>
      <c r="K369" s="102">
        <v>801116</v>
      </c>
      <c r="L369" s="18" t="s">
        <v>1073</v>
      </c>
      <c r="M369" s="18" t="s">
        <v>59</v>
      </c>
      <c r="N369" s="18" t="s">
        <v>60</v>
      </c>
      <c r="O369" s="18" t="s">
        <v>1076</v>
      </c>
      <c r="P369" s="195" t="s">
        <v>1303</v>
      </c>
      <c r="Q369" s="202">
        <v>3450000</v>
      </c>
      <c r="R369" s="18">
        <v>1</v>
      </c>
      <c r="S369" s="203">
        <v>3450000</v>
      </c>
      <c r="T369" s="204" t="s">
        <v>900</v>
      </c>
      <c r="U369" s="18" t="s">
        <v>68</v>
      </c>
      <c r="V369" s="51">
        <v>43286</v>
      </c>
      <c r="W369" s="205">
        <v>1</v>
      </c>
      <c r="X369" s="40"/>
      <c r="Y369" s="51"/>
      <c r="Z369" s="110"/>
      <c r="AA369" s="110"/>
      <c r="AB369" s="18"/>
      <c r="AC369" s="18"/>
      <c r="AD369" s="203"/>
      <c r="AE369" s="18"/>
      <c r="AF369" s="18"/>
      <c r="AG369" s="18"/>
      <c r="AH369" s="105"/>
      <c r="AI369" s="110" t="s">
        <v>1304</v>
      </c>
      <c r="AJ369" s="18"/>
      <c r="AK369" s="18"/>
      <c r="AL369" s="201"/>
      <c r="AM369" s="201"/>
      <c r="AN369" s="18"/>
      <c r="AO369" s="18"/>
      <c r="AP369" s="18"/>
      <c r="AQ369" s="18"/>
      <c r="AR369" s="18"/>
      <c r="AS369" s="18"/>
      <c r="AT369" s="18"/>
      <c r="AU369" s="79"/>
    </row>
    <row r="370" spans="1:47" ht="103.5" thickTop="1" thickBot="1" x14ac:dyDescent="0.3">
      <c r="A370" s="249">
        <v>65</v>
      </c>
      <c r="B370" s="250" t="s">
        <v>1305</v>
      </c>
      <c r="C370" s="102" t="s">
        <v>1071</v>
      </c>
      <c r="D370" s="18" t="s">
        <v>286</v>
      </c>
      <c r="E370" s="102" t="s">
        <v>1072</v>
      </c>
      <c r="F370" s="18" t="s">
        <v>53</v>
      </c>
      <c r="G370" s="18" t="s">
        <v>54</v>
      </c>
      <c r="H370" s="25" t="s">
        <v>305</v>
      </c>
      <c r="I370" s="18" t="s">
        <v>56</v>
      </c>
      <c r="J370" s="18" t="s">
        <v>57</v>
      </c>
      <c r="K370" s="102">
        <v>801116</v>
      </c>
      <c r="L370" s="18" t="s">
        <v>1073</v>
      </c>
      <c r="M370" s="18" t="s">
        <v>59</v>
      </c>
      <c r="N370" s="18" t="s">
        <v>60</v>
      </c>
      <c r="O370" s="18" t="s">
        <v>1076</v>
      </c>
      <c r="P370" s="195" t="s">
        <v>1306</v>
      </c>
      <c r="Q370" s="202">
        <v>3300000</v>
      </c>
      <c r="R370" s="18">
        <v>1</v>
      </c>
      <c r="S370" s="203">
        <v>4950000</v>
      </c>
      <c r="T370" s="204" t="s">
        <v>900</v>
      </c>
      <c r="U370" s="18" t="s">
        <v>68</v>
      </c>
      <c r="V370" s="51">
        <v>43256</v>
      </c>
      <c r="W370" s="215">
        <v>1.5</v>
      </c>
      <c r="X370" s="40"/>
      <c r="Y370" s="51"/>
      <c r="Z370" s="110"/>
      <c r="AA370" s="110"/>
      <c r="AB370" s="18"/>
      <c r="AC370" s="18"/>
      <c r="AD370" s="203"/>
      <c r="AE370" s="18"/>
      <c r="AF370" s="18"/>
      <c r="AG370" s="18"/>
      <c r="AH370" s="105"/>
      <c r="AI370" s="110" t="s">
        <v>1307</v>
      </c>
      <c r="AJ370" s="18"/>
      <c r="AK370" s="18"/>
      <c r="AL370" s="201"/>
      <c r="AM370" s="201"/>
      <c r="AN370" s="18"/>
      <c r="AO370" s="18"/>
      <c r="AP370" s="18"/>
      <c r="AQ370" s="18"/>
      <c r="AR370" s="18"/>
      <c r="AS370" s="18"/>
      <c r="AT370" s="18"/>
      <c r="AU370" s="79"/>
    </row>
    <row r="371" spans="1:47" ht="116.25" thickTop="1" thickBot="1" x14ac:dyDescent="0.3">
      <c r="A371" s="249">
        <v>66</v>
      </c>
      <c r="B371" s="250" t="s">
        <v>1308</v>
      </c>
      <c r="C371" s="102" t="s">
        <v>1071</v>
      </c>
      <c r="D371" s="18" t="s">
        <v>286</v>
      </c>
      <c r="E371" s="102" t="s">
        <v>1072</v>
      </c>
      <c r="F371" s="18" t="s">
        <v>53</v>
      </c>
      <c r="G371" s="18" t="s">
        <v>54</v>
      </c>
      <c r="H371" s="25" t="s">
        <v>305</v>
      </c>
      <c r="I371" s="18" t="s">
        <v>56</v>
      </c>
      <c r="J371" s="18" t="s">
        <v>57</v>
      </c>
      <c r="K371" s="102">
        <v>801116</v>
      </c>
      <c r="L371" s="18" t="s">
        <v>1073</v>
      </c>
      <c r="M371" s="18" t="s">
        <v>59</v>
      </c>
      <c r="N371" s="18" t="s">
        <v>60</v>
      </c>
      <c r="O371" s="18" t="s">
        <v>1076</v>
      </c>
      <c r="P371" s="195" t="s">
        <v>1309</v>
      </c>
      <c r="Q371" s="202">
        <v>3300000</v>
      </c>
      <c r="R371" s="18">
        <v>1</v>
      </c>
      <c r="S371" s="203">
        <v>3300000</v>
      </c>
      <c r="T371" s="204" t="s">
        <v>900</v>
      </c>
      <c r="U371" s="18" t="s">
        <v>68</v>
      </c>
      <c r="V371" s="51">
        <v>43286</v>
      </c>
      <c r="W371" s="205">
        <v>1</v>
      </c>
      <c r="X371" s="40"/>
      <c r="Y371" s="51"/>
      <c r="Z371" s="110"/>
      <c r="AA371" s="110"/>
      <c r="AB371" s="18"/>
      <c r="AC371" s="18"/>
      <c r="AD371" s="203"/>
      <c r="AE371" s="18"/>
      <c r="AF371" s="18"/>
      <c r="AG371" s="18"/>
      <c r="AH371" s="105"/>
      <c r="AI371" s="110" t="s">
        <v>1310</v>
      </c>
      <c r="AJ371" s="18"/>
      <c r="AK371" s="18"/>
      <c r="AL371" s="201"/>
      <c r="AM371" s="201"/>
      <c r="AN371" s="18"/>
      <c r="AO371" s="18"/>
      <c r="AP371" s="18"/>
      <c r="AQ371" s="18"/>
      <c r="AR371" s="18"/>
      <c r="AS371" s="18"/>
      <c r="AT371" s="18"/>
      <c r="AU371" s="79"/>
    </row>
    <row r="372" spans="1:47" ht="103.5" thickTop="1" thickBot="1" x14ac:dyDescent="0.3">
      <c r="A372" s="249">
        <v>67</v>
      </c>
      <c r="B372" s="250" t="s">
        <v>1311</v>
      </c>
      <c r="C372" s="102" t="s">
        <v>1071</v>
      </c>
      <c r="D372" s="18" t="s">
        <v>286</v>
      </c>
      <c r="E372" s="102" t="s">
        <v>1072</v>
      </c>
      <c r="F372" s="18" t="s">
        <v>53</v>
      </c>
      <c r="G372" s="18" t="s">
        <v>54</v>
      </c>
      <c r="H372" s="25" t="s">
        <v>305</v>
      </c>
      <c r="I372" s="18" t="s">
        <v>56</v>
      </c>
      <c r="J372" s="18" t="s">
        <v>57</v>
      </c>
      <c r="K372" s="102">
        <v>801116</v>
      </c>
      <c r="L372" s="18" t="s">
        <v>1073</v>
      </c>
      <c r="M372" s="18" t="s">
        <v>59</v>
      </c>
      <c r="N372" s="18" t="s">
        <v>60</v>
      </c>
      <c r="O372" s="18" t="s">
        <v>1076</v>
      </c>
      <c r="P372" s="195" t="s">
        <v>1312</v>
      </c>
      <c r="Q372" s="202">
        <v>3300000</v>
      </c>
      <c r="R372" s="18">
        <v>1</v>
      </c>
      <c r="S372" s="203">
        <v>4950000</v>
      </c>
      <c r="T372" s="204" t="s">
        <v>900</v>
      </c>
      <c r="U372" s="18" t="s">
        <v>68</v>
      </c>
      <c r="V372" s="51">
        <v>43256</v>
      </c>
      <c r="W372" s="215">
        <v>1.5</v>
      </c>
      <c r="X372" s="40"/>
      <c r="Y372" s="51"/>
      <c r="Z372" s="110"/>
      <c r="AA372" s="110"/>
      <c r="AB372" s="18"/>
      <c r="AC372" s="18"/>
      <c r="AD372" s="203"/>
      <c r="AE372" s="18"/>
      <c r="AF372" s="18"/>
      <c r="AG372" s="18"/>
      <c r="AH372" s="105"/>
      <c r="AI372" s="110" t="s">
        <v>1313</v>
      </c>
      <c r="AJ372" s="18"/>
      <c r="AK372" s="18"/>
      <c r="AL372" s="201"/>
      <c r="AM372" s="201"/>
      <c r="AN372" s="18"/>
      <c r="AO372" s="18"/>
      <c r="AP372" s="18"/>
      <c r="AQ372" s="18"/>
      <c r="AR372" s="18"/>
      <c r="AS372" s="18"/>
      <c r="AT372" s="18"/>
      <c r="AU372" s="79"/>
    </row>
    <row r="373" spans="1:47" ht="116.25" thickTop="1" thickBot="1" x14ac:dyDescent="0.3">
      <c r="A373" s="249">
        <v>68</v>
      </c>
      <c r="B373" s="250" t="s">
        <v>1314</v>
      </c>
      <c r="C373" s="102" t="s">
        <v>1071</v>
      </c>
      <c r="D373" s="18" t="s">
        <v>286</v>
      </c>
      <c r="E373" s="102" t="s">
        <v>1072</v>
      </c>
      <c r="F373" s="18" t="s">
        <v>53</v>
      </c>
      <c r="G373" s="18" t="s">
        <v>54</v>
      </c>
      <c r="H373" s="25" t="s">
        <v>305</v>
      </c>
      <c r="I373" s="18" t="s">
        <v>56</v>
      </c>
      <c r="J373" s="18" t="s">
        <v>57</v>
      </c>
      <c r="K373" s="102">
        <v>801116</v>
      </c>
      <c r="L373" s="18" t="s">
        <v>1073</v>
      </c>
      <c r="M373" s="18" t="s">
        <v>59</v>
      </c>
      <c r="N373" s="18" t="s">
        <v>60</v>
      </c>
      <c r="O373" s="18" t="s">
        <v>1076</v>
      </c>
      <c r="P373" s="195" t="s">
        <v>1315</v>
      </c>
      <c r="Q373" s="202">
        <v>3450000</v>
      </c>
      <c r="R373" s="18">
        <v>1</v>
      </c>
      <c r="S373" s="203">
        <v>3450000</v>
      </c>
      <c r="T373" s="204" t="s">
        <v>900</v>
      </c>
      <c r="U373" s="18" t="s">
        <v>68</v>
      </c>
      <c r="V373" s="51">
        <v>43286</v>
      </c>
      <c r="W373" s="205">
        <v>1</v>
      </c>
      <c r="X373" s="40"/>
      <c r="Y373" s="51"/>
      <c r="Z373" s="110"/>
      <c r="AA373" s="110"/>
      <c r="AB373" s="18"/>
      <c r="AC373" s="18"/>
      <c r="AD373" s="203"/>
      <c r="AE373" s="18"/>
      <c r="AF373" s="18"/>
      <c r="AG373" s="18"/>
      <c r="AH373" s="105"/>
      <c r="AI373" s="110" t="s">
        <v>1316</v>
      </c>
      <c r="AJ373" s="18"/>
      <c r="AK373" s="18"/>
      <c r="AL373" s="201"/>
      <c r="AM373" s="201"/>
      <c r="AN373" s="18"/>
      <c r="AO373" s="18"/>
      <c r="AP373" s="18"/>
      <c r="AQ373" s="18"/>
      <c r="AR373" s="18"/>
      <c r="AS373" s="18"/>
      <c r="AT373" s="18"/>
      <c r="AU373" s="79"/>
    </row>
    <row r="374" spans="1:47" ht="103.5" thickTop="1" thickBot="1" x14ac:dyDescent="0.3">
      <c r="A374" s="249">
        <v>69</v>
      </c>
      <c r="B374" s="250" t="s">
        <v>1317</v>
      </c>
      <c r="C374" s="102" t="s">
        <v>1071</v>
      </c>
      <c r="D374" s="18" t="s">
        <v>286</v>
      </c>
      <c r="E374" s="102" t="s">
        <v>1072</v>
      </c>
      <c r="F374" s="18" t="s">
        <v>53</v>
      </c>
      <c r="G374" s="18" t="s">
        <v>54</v>
      </c>
      <c r="H374" s="25" t="s">
        <v>305</v>
      </c>
      <c r="I374" s="18" t="s">
        <v>56</v>
      </c>
      <c r="J374" s="18" t="s">
        <v>57</v>
      </c>
      <c r="K374" s="102">
        <v>801116</v>
      </c>
      <c r="L374" s="18" t="s">
        <v>1073</v>
      </c>
      <c r="M374" s="18" t="s">
        <v>59</v>
      </c>
      <c r="N374" s="18" t="s">
        <v>60</v>
      </c>
      <c r="O374" s="18" t="s">
        <v>1076</v>
      </c>
      <c r="P374" s="195" t="s">
        <v>1318</v>
      </c>
      <c r="Q374" s="202">
        <v>4000000</v>
      </c>
      <c r="R374" s="18">
        <v>1</v>
      </c>
      <c r="S374" s="203">
        <v>4000000</v>
      </c>
      <c r="T374" s="204" t="s">
        <v>900</v>
      </c>
      <c r="U374" s="18" t="s">
        <v>68</v>
      </c>
      <c r="V374" s="51">
        <v>43265</v>
      </c>
      <c r="W374" s="205">
        <v>1</v>
      </c>
      <c r="X374" s="40"/>
      <c r="Y374" s="51"/>
      <c r="Z374" s="110"/>
      <c r="AA374" s="110"/>
      <c r="AB374" s="18"/>
      <c r="AC374" s="18"/>
      <c r="AD374" s="203"/>
      <c r="AE374" s="18"/>
      <c r="AF374" s="18"/>
      <c r="AG374" s="18"/>
      <c r="AH374" s="105"/>
      <c r="AI374" s="110" t="s">
        <v>1319</v>
      </c>
      <c r="AJ374" s="18"/>
      <c r="AK374" s="18"/>
      <c r="AL374" s="201"/>
      <c r="AM374" s="201"/>
      <c r="AN374" s="18"/>
      <c r="AO374" s="18"/>
      <c r="AP374" s="18"/>
      <c r="AQ374" s="18"/>
      <c r="AR374" s="18"/>
      <c r="AS374" s="18"/>
      <c r="AT374" s="18"/>
      <c r="AU374" s="79"/>
    </row>
    <row r="375" spans="1:47" ht="116.25" thickTop="1" thickBot="1" x14ac:dyDescent="0.3">
      <c r="A375" s="249">
        <v>70</v>
      </c>
      <c r="B375" s="250" t="s">
        <v>1320</v>
      </c>
      <c r="C375" s="102" t="s">
        <v>1071</v>
      </c>
      <c r="D375" s="18" t="s">
        <v>286</v>
      </c>
      <c r="E375" s="102" t="s">
        <v>1072</v>
      </c>
      <c r="F375" s="18" t="s">
        <v>53</v>
      </c>
      <c r="G375" s="18" t="s">
        <v>54</v>
      </c>
      <c r="H375" s="25" t="s">
        <v>305</v>
      </c>
      <c r="I375" s="18" t="s">
        <v>56</v>
      </c>
      <c r="J375" s="18" t="s">
        <v>57</v>
      </c>
      <c r="K375" s="102">
        <v>801116</v>
      </c>
      <c r="L375" s="18" t="s">
        <v>1073</v>
      </c>
      <c r="M375" s="18" t="s">
        <v>59</v>
      </c>
      <c r="N375" s="18" t="s">
        <v>60</v>
      </c>
      <c r="O375" s="18" t="s">
        <v>1076</v>
      </c>
      <c r="P375" s="195" t="s">
        <v>1321</v>
      </c>
      <c r="Q375" s="202">
        <v>4890000</v>
      </c>
      <c r="R375" s="18">
        <v>1</v>
      </c>
      <c r="S375" s="203">
        <v>7335000</v>
      </c>
      <c r="T375" s="204" t="s">
        <v>900</v>
      </c>
      <c r="U375" s="18" t="s">
        <v>68</v>
      </c>
      <c r="V375" s="51">
        <v>43255</v>
      </c>
      <c r="W375" s="215">
        <v>1.5</v>
      </c>
      <c r="X375" s="40"/>
      <c r="Y375" s="51"/>
      <c r="Z375" s="110"/>
      <c r="AA375" s="110"/>
      <c r="AB375" s="18"/>
      <c r="AC375" s="18"/>
      <c r="AD375" s="203"/>
      <c r="AE375" s="18"/>
      <c r="AF375" s="18"/>
      <c r="AG375" s="18"/>
      <c r="AH375" s="105"/>
      <c r="AI375" s="110" t="s">
        <v>1322</v>
      </c>
      <c r="AJ375" s="18"/>
      <c r="AK375" s="18"/>
      <c r="AL375" s="201"/>
      <c r="AM375" s="201"/>
      <c r="AN375" s="18"/>
      <c r="AO375" s="18"/>
      <c r="AP375" s="18"/>
      <c r="AQ375" s="18"/>
      <c r="AR375" s="18"/>
      <c r="AS375" s="18"/>
      <c r="AT375" s="18"/>
      <c r="AU375" s="79"/>
    </row>
    <row r="376" spans="1:47" ht="116.25" thickTop="1" thickBot="1" x14ac:dyDescent="0.3">
      <c r="A376" s="249">
        <v>71</v>
      </c>
      <c r="B376" s="250" t="s">
        <v>1323</v>
      </c>
      <c r="C376" s="102" t="s">
        <v>1071</v>
      </c>
      <c r="D376" s="18" t="s">
        <v>286</v>
      </c>
      <c r="E376" s="102" t="s">
        <v>1072</v>
      </c>
      <c r="F376" s="18" t="s">
        <v>53</v>
      </c>
      <c r="G376" s="18" t="s">
        <v>54</v>
      </c>
      <c r="H376" s="25" t="s">
        <v>305</v>
      </c>
      <c r="I376" s="18" t="s">
        <v>56</v>
      </c>
      <c r="J376" s="18" t="s">
        <v>57</v>
      </c>
      <c r="K376" s="102">
        <v>801116</v>
      </c>
      <c r="L376" s="18" t="s">
        <v>1073</v>
      </c>
      <c r="M376" s="18" t="s">
        <v>59</v>
      </c>
      <c r="N376" s="18" t="s">
        <v>60</v>
      </c>
      <c r="O376" s="18" t="s">
        <v>1076</v>
      </c>
      <c r="P376" s="195" t="s">
        <v>1324</v>
      </c>
      <c r="Q376" s="202">
        <v>3300000</v>
      </c>
      <c r="R376" s="18">
        <v>1</v>
      </c>
      <c r="S376" s="203">
        <v>3300000</v>
      </c>
      <c r="T376" s="204" t="s">
        <v>900</v>
      </c>
      <c r="U376" s="18" t="s">
        <v>68</v>
      </c>
      <c r="V376" s="51">
        <v>43291</v>
      </c>
      <c r="W376" s="205">
        <v>1</v>
      </c>
      <c r="X376" s="40"/>
      <c r="Y376" s="51"/>
      <c r="Z376" s="110"/>
      <c r="AA376" s="110"/>
      <c r="AB376" s="18"/>
      <c r="AC376" s="18"/>
      <c r="AD376" s="203"/>
      <c r="AE376" s="18"/>
      <c r="AF376" s="18"/>
      <c r="AG376" s="18"/>
      <c r="AH376" s="105"/>
      <c r="AI376" s="110" t="s">
        <v>1325</v>
      </c>
      <c r="AJ376" s="18"/>
      <c r="AK376" s="18"/>
      <c r="AL376" s="201"/>
      <c r="AM376" s="201"/>
      <c r="AN376" s="18"/>
      <c r="AO376" s="18"/>
      <c r="AP376" s="18"/>
      <c r="AQ376" s="18"/>
      <c r="AR376" s="18"/>
      <c r="AS376" s="18"/>
      <c r="AT376" s="18"/>
      <c r="AU376" s="79"/>
    </row>
    <row r="377" spans="1:47" ht="103.5" thickTop="1" thickBot="1" x14ac:dyDescent="0.3">
      <c r="A377" s="249">
        <v>72</v>
      </c>
      <c r="B377" s="250" t="s">
        <v>1326</v>
      </c>
      <c r="C377" s="102" t="s">
        <v>1071</v>
      </c>
      <c r="D377" s="18" t="s">
        <v>286</v>
      </c>
      <c r="E377" s="102" t="s">
        <v>1072</v>
      </c>
      <c r="F377" s="18" t="s">
        <v>53</v>
      </c>
      <c r="G377" s="18" t="s">
        <v>54</v>
      </c>
      <c r="H377" s="25" t="s">
        <v>305</v>
      </c>
      <c r="I377" s="18" t="s">
        <v>56</v>
      </c>
      <c r="J377" s="18" t="s">
        <v>57</v>
      </c>
      <c r="K377" s="102">
        <v>801116</v>
      </c>
      <c r="L377" s="18" t="s">
        <v>1073</v>
      </c>
      <c r="M377" s="18" t="s">
        <v>59</v>
      </c>
      <c r="N377" s="18" t="s">
        <v>60</v>
      </c>
      <c r="O377" s="18" t="s">
        <v>1076</v>
      </c>
      <c r="P377" s="195" t="s">
        <v>1327</v>
      </c>
      <c r="Q377" s="202">
        <v>1700000</v>
      </c>
      <c r="R377" s="18">
        <v>1</v>
      </c>
      <c r="S377" s="203">
        <v>2550000</v>
      </c>
      <c r="T377" s="204" t="s">
        <v>900</v>
      </c>
      <c r="U377" s="18" t="s">
        <v>68</v>
      </c>
      <c r="V377" s="51">
        <v>43271</v>
      </c>
      <c r="W377" s="215">
        <v>1.5</v>
      </c>
      <c r="X377" s="40"/>
      <c r="Y377" s="51"/>
      <c r="Z377" s="110"/>
      <c r="AA377" s="110"/>
      <c r="AB377" s="18"/>
      <c r="AC377" s="18"/>
      <c r="AD377" s="203"/>
      <c r="AE377" s="18"/>
      <c r="AF377" s="18"/>
      <c r="AG377" s="18"/>
      <c r="AH377" s="105"/>
      <c r="AI377" s="110" t="s">
        <v>1328</v>
      </c>
      <c r="AJ377" s="18"/>
      <c r="AK377" s="18"/>
      <c r="AL377" s="201"/>
      <c r="AM377" s="201"/>
      <c r="AN377" s="18"/>
      <c r="AO377" s="18"/>
      <c r="AP377" s="18"/>
      <c r="AQ377" s="18"/>
      <c r="AR377" s="18"/>
      <c r="AS377" s="18"/>
      <c r="AT377" s="18"/>
      <c r="AU377" s="79"/>
    </row>
    <row r="378" spans="1:47" ht="103.5" thickTop="1" thickBot="1" x14ac:dyDescent="0.3">
      <c r="A378" s="249">
        <v>73</v>
      </c>
      <c r="B378" s="250" t="s">
        <v>1329</v>
      </c>
      <c r="C378" s="102" t="s">
        <v>1071</v>
      </c>
      <c r="D378" s="18" t="s">
        <v>286</v>
      </c>
      <c r="E378" s="102" t="s">
        <v>1072</v>
      </c>
      <c r="F378" s="18" t="s">
        <v>53</v>
      </c>
      <c r="G378" s="18" t="s">
        <v>54</v>
      </c>
      <c r="H378" s="25" t="s">
        <v>305</v>
      </c>
      <c r="I378" s="18" t="s">
        <v>56</v>
      </c>
      <c r="J378" s="18" t="s">
        <v>57</v>
      </c>
      <c r="K378" s="102">
        <v>801116</v>
      </c>
      <c r="L378" s="18" t="s">
        <v>1073</v>
      </c>
      <c r="M378" s="18" t="s">
        <v>59</v>
      </c>
      <c r="N378" s="18" t="s">
        <v>60</v>
      </c>
      <c r="O378" s="18" t="s">
        <v>1076</v>
      </c>
      <c r="P378" s="195" t="s">
        <v>1330</v>
      </c>
      <c r="Q378" s="202">
        <v>4000000</v>
      </c>
      <c r="R378" s="18">
        <v>1</v>
      </c>
      <c r="S378" s="203">
        <v>6000000</v>
      </c>
      <c r="T378" s="204" t="s">
        <v>900</v>
      </c>
      <c r="U378" s="18" t="s">
        <v>68</v>
      </c>
      <c r="V378" s="51">
        <v>43257</v>
      </c>
      <c r="W378" s="215">
        <v>1.5</v>
      </c>
      <c r="X378" s="40"/>
      <c r="Y378" s="51"/>
      <c r="Z378" s="110"/>
      <c r="AA378" s="110"/>
      <c r="AB378" s="18"/>
      <c r="AC378" s="18"/>
      <c r="AD378" s="203"/>
      <c r="AE378" s="18"/>
      <c r="AF378" s="18"/>
      <c r="AG378" s="18"/>
      <c r="AH378" s="105"/>
      <c r="AI378" s="110" t="s">
        <v>1331</v>
      </c>
      <c r="AJ378" s="18"/>
      <c r="AK378" s="18"/>
      <c r="AL378" s="201"/>
      <c r="AM378" s="201"/>
      <c r="AN378" s="18"/>
      <c r="AO378" s="18"/>
      <c r="AP378" s="18"/>
      <c r="AQ378" s="18"/>
      <c r="AR378" s="18"/>
      <c r="AS378" s="18"/>
      <c r="AT378" s="18"/>
      <c r="AU378" s="79"/>
    </row>
    <row r="379" spans="1:47" ht="103.5" thickTop="1" thickBot="1" x14ac:dyDescent="0.3">
      <c r="A379" s="249">
        <v>74</v>
      </c>
      <c r="B379" s="250" t="s">
        <v>1332</v>
      </c>
      <c r="C379" s="102" t="s">
        <v>1071</v>
      </c>
      <c r="D379" s="18" t="s">
        <v>286</v>
      </c>
      <c r="E379" s="102" t="s">
        <v>1072</v>
      </c>
      <c r="F379" s="18" t="s">
        <v>53</v>
      </c>
      <c r="G379" s="18" t="s">
        <v>54</v>
      </c>
      <c r="H379" s="25" t="s">
        <v>305</v>
      </c>
      <c r="I379" s="18" t="s">
        <v>56</v>
      </c>
      <c r="J379" s="18" t="s">
        <v>57</v>
      </c>
      <c r="K379" s="102">
        <v>801116</v>
      </c>
      <c r="L379" s="18" t="s">
        <v>1073</v>
      </c>
      <c r="M379" s="18" t="s">
        <v>59</v>
      </c>
      <c r="N379" s="18" t="s">
        <v>60</v>
      </c>
      <c r="O379" s="18" t="s">
        <v>1076</v>
      </c>
      <c r="P379" s="195" t="s">
        <v>1333</v>
      </c>
      <c r="Q379" s="202">
        <v>3300000</v>
      </c>
      <c r="R379" s="18">
        <v>1</v>
      </c>
      <c r="S379" s="203">
        <v>4950000</v>
      </c>
      <c r="T379" s="204" t="s">
        <v>900</v>
      </c>
      <c r="U379" s="18" t="s">
        <v>68</v>
      </c>
      <c r="V379" s="51">
        <v>43256</v>
      </c>
      <c r="W379" s="215">
        <v>1.5</v>
      </c>
      <c r="X379" s="40"/>
      <c r="Y379" s="51"/>
      <c r="Z379" s="110"/>
      <c r="AA379" s="110"/>
      <c r="AB379" s="18"/>
      <c r="AC379" s="18"/>
      <c r="AD379" s="203"/>
      <c r="AE379" s="18"/>
      <c r="AF379" s="18"/>
      <c r="AG379" s="18"/>
      <c r="AH379" s="105"/>
      <c r="AI379" s="110" t="s">
        <v>1334</v>
      </c>
      <c r="AJ379" s="18"/>
      <c r="AK379" s="18"/>
      <c r="AL379" s="201"/>
      <c r="AM379" s="201"/>
      <c r="AN379" s="18"/>
      <c r="AO379" s="18"/>
      <c r="AP379" s="18"/>
      <c r="AQ379" s="18"/>
      <c r="AR379" s="18"/>
      <c r="AS379" s="18"/>
      <c r="AT379" s="18"/>
      <c r="AU379" s="79"/>
    </row>
    <row r="380" spans="1:47" ht="103.5" thickTop="1" thickBot="1" x14ac:dyDescent="0.3">
      <c r="A380" s="249">
        <v>75</v>
      </c>
      <c r="B380" s="250" t="s">
        <v>1335</v>
      </c>
      <c r="C380" s="102" t="s">
        <v>1071</v>
      </c>
      <c r="D380" s="18" t="s">
        <v>286</v>
      </c>
      <c r="E380" s="102" t="s">
        <v>1072</v>
      </c>
      <c r="F380" s="18" t="s">
        <v>53</v>
      </c>
      <c r="G380" s="18" t="s">
        <v>54</v>
      </c>
      <c r="H380" s="25" t="s">
        <v>305</v>
      </c>
      <c r="I380" s="18" t="s">
        <v>56</v>
      </c>
      <c r="J380" s="18" t="s">
        <v>57</v>
      </c>
      <c r="K380" s="102">
        <v>801116</v>
      </c>
      <c r="L380" s="18" t="s">
        <v>1073</v>
      </c>
      <c r="M380" s="18" t="s">
        <v>59</v>
      </c>
      <c r="N380" s="18" t="s">
        <v>60</v>
      </c>
      <c r="O380" s="18" t="s">
        <v>1076</v>
      </c>
      <c r="P380" s="195" t="s">
        <v>1336</v>
      </c>
      <c r="Q380" s="202">
        <v>4000000</v>
      </c>
      <c r="R380" s="18">
        <v>1</v>
      </c>
      <c r="S380" s="203">
        <v>6000000</v>
      </c>
      <c r="T380" s="204" t="s">
        <v>900</v>
      </c>
      <c r="U380" s="18" t="s">
        <v>68</v>
      </c>
      <c r="V380" s="51">
        <v>43256</v>
      </c>
      <c r="W380" s="215">
        <v>1.5</v>
      </c>
      <c r="X380" s="40"/>
      <c r="Y380" s="51"/>
      <c r="Z380" s="110"/>
      <c r="AA380" s="110"/>
      <c r="AB380" s="18"/>
      <c r="AC380" s="18"/>
      <c r="AD380" s="203"/>
      <c r="AE380" s="18"/>
      <c r="AF380" s="18"/>
      <c r="AG380" s="18"/>
      <c r="AH380" s="105"/>
      <c r="AI380" s="110" t="s">
        <v>1337</v>
      </c>
      <c r="AJ380" s="18"/>
      <c r="AK380" s="18"/>
      <c r="AL380" s="201"/>
      <c r="AM380" s="201"/>
      <c r="AN380" s="18"/>
      <c r="AO380" s="18"/>
      <c r="AP380" s="18"/>
      <c r="AQ380" s="18"/>
      <c r="AR380" s="18"/>
      <c r="AS380" s="18"/>
      <c r="AT380" s="18"/>
      <c r="AU380" s="79"/>
    </row>
    <row r="381" spans="1:47" ht="103.5" thickTop="1" thickBot="1" x14ac:dyDescent="0.3">
      <c r="A381" s="249">
        <v>76</v>
      </c>
      <c r="B381" s="250" t="s">
        <v>1338</v>
      </c>
      <c r="C381" s="102" t="s">
        <v>1071</v>
      </c>
      <c r="D381" s="18" t="s">
        <v>286</v>
      </c>
      <c r="E381" s="102" t="s">
        <v>1072</v>
      </c>
      <c r="F381" s="18" t="s">
        <v>53</v>
      </c>
      <c r="G381" s="18" t="s">
        <v>54</v>
      </c>
      <c r="H381" s="25" t="s">
        <v>305</v>
      </c>
      <c r="I381" s="18" t="s">
        <v>56</v>
      </c>
      <c r="J381" s="18" t="s">
        <v>57</v>
      </c>
      <c r="K381" s="102">
        <v>801116</v>
      </c>
      <c r="L381" s="18" t="s">
        <v>1073</v>
      </c>
      <c r="M381" s="18" t="s">
        <v>59</v>
      </c>
      <c r="N381" s="18" t="s">
        <v>60</v>
      </c>
      <c r="O381" s="18" t="s">
        <v>1076</v>
      </c>
      <c r="P381" s="195" t="s">
        <v>1339</v>
      </c>
      <c r="Q381" s="202">
        <v>2400000</v>
      </c>
      <c r="R381" s="18">
        <v>1</v>
      </c>
      <c r="S381" s="203">
        <v>3600000</v>
      </c>
      <c r="T381" s="204" t="s">
        <v>900</v>
      </c>
      <c r="U381" s="18" t="s">
        <v>68</v>
      </c>
      <c r="V381" s="51">
        <v>43261</v>
      </c>
      <c r="W381" s="215">
        <v>1.5</v>
      </c>
      <c r="X381" s="40"/>
      <c r="Y381" s="51"/>
      <c r="Z381" s="110"/>
      <c r="AA381" s="110"/>
      <c r="AB381" s="18"/>
      <c r="AC381" s="18"/>
      <c r="AD381" s="203"/>
      <c r="AE381" s="18"/>
      <c r="AF381" s="18"/>
      <c r="AG381" s="18"/>
      <c r="AH381" s="105"/>
      <c r="AI381" s="110" t="s">
        <v>1340</v>
      </c>
      <c r="AJ381" s="18"/>
      <c r="AK381" s="18"/>
      <c r="AL381" s="201"/>
      <c r="AM381" s="201"/>
      <c r="AN381" s="18"/>
      <c r="AO381" s="18"/>
      <c r="AP381" s="18"/>
      <c r="AQ381" s="18"/>
      <c r="AR381" s="18"/>
      <c r="AS381" s="18"/>
      <c r="AT381" s="18"/>
      <c r="AU381" s="79"/>
    </row>
    <row r="382" spans="1:47" ht="103.5" thickTop="1" thickBot="1" x14ac:dyDescent="0.3">
      <c r="A382" s="249">
        <v>77</v>
      </c>
      <c r="B382" s="250" t="s">
        <v>1341</v>
      </c>
      <c r="C382" s="102" t="s">
        <v>1071</v>
      </c>
      <c r="D382" s="18" t="s">
        <v>286</v>
      </c>
      <c r="E382" s="102" t="s">
        <v>1072</v>
      </c>
      <c r="F382" s="18" t="s">
        <v>53</v>
      </c>
      <c r="G382" s="18" t="s">
        <v>54</v>
      </c>
      <c r="H382" s="25" t="s">
        <v>305</v>
      </c>
      <c r="I382" s="18" t="s">
        <v>56</v>
      </c>
      <c r="J382" s="18" t="s">
        <v>57</v>
      </c>
      <c r="K382" s="102">
        <v>801116</v>
      </c>
      <c r="L382" s="18" t="s">
        <v>1073</v>
      </c>
      <c r="M382" s="18" t="s">
        <v>59</v>
      </c>
      <c r="N382" s="18" t="s">
        <v>60</v>
      </c>
      <c r="O382" s="18" t="s">
        <v>1076</v>
      </c>
      <c r="P382" s="195" t="s">
        <v>1342</v>
      </c>
      <c r="Q382" s="202">
        <v>1700000</v>
      </c>
      <c r="R382" s="18">
        <v>1</v>
      </c>
      <c r="S382" s="203">
        <v>2550000</v>
      </c>
      <c r="T382" s="204" t="s">
        <v>900</v>
      </c>
      <c r="U382" s="18" t="s">
        <v>68</v>
      </c>
      <c r="V382" s="51">
        <v>43255</v>
      </c>
      <c r="W382" s="215">
        <v>1.5</v>
      </c>
      <c r="X382" s="40"/>
      <c r="Y382" s="51"/>
      <c r="Z382" s="110"/>
      <c r="AA382" s="110"/>
      <c r="AB382" s="18"/>
      <c r="AC382" s="18"/>
      <c r="AD382" s="203"/>
      <c r="AE382" s="18"/>
      <c r="AF382" s="18"/>
      <c r="AG382" s="18"/>
      <c r="AH382" s="105"/>
      <c r="AI382" s="110" t="s">
        <v>1343</v>
      </c>
      <c r="AJ382" s="18"/>
      <c r="AK382" s="18"/>
      <c r="AL382" s="201"/>
      <c r="AM382" s="201"/>
      <c r="AN382" s="18"/>
      <c r="AO382" s="18"/>
      <c r="AP382" s="18"/>
      <c r="AQ382" s="18"/>
      <c r="AR382" s="18"/>
      <c r="AS382" s="18"/>
      <c r="AT382" s="18"/>
      <c r="AU382" s="79"/>
    </row>
    <row r="383" spans="1:47" ht="103.5" thickTop="1" thickBot="1" x14ac:dyDescent="0.3">
      <c r="A383" s="249">
        <v>78</v>
      </c>
      <c r="B383" s="250" t="s">
        <v>1344</v>
      </c>
      <c r="C383" s="102" t="s">
        <v>1071</v>
      </c>
      <c r="D383" s="18" t="s">
        <v>286</v>
      </c>
      <c r="E383" s="102" t="s">
        <v>1072</v>
      </c>
      <c r="F383" s="18" t="s">
        <v>53</v>
      </c>
      <c r="G383" s="18" t="s">
        <v>54</v>
      </c>
      <c r="H383" s="25" t="s">
        <v>305</v>
      </c>
      <c r="I383" s="18" t="s">
        <v>56</v>
      </c>
      <c r="J383" s="18" t="s">
        <v>57</v>
      </c>
      <c r="K383" s="102">
        <v>801116</v>
      </c>
      <c r="L383" s="18" t="s">
        <v>1073</v>
      </c>
      <c r="M383" s="18" t="s">
        <v>59</v>
      </c>
      <c r="N383" s="18" t="s">
        <v>60</v>
      </c>
      <c r="O383" s="18" t="s">
        <v>1076</v>
      </c>
      <c r="P383" s="195" t="s">
        <v>1345</v>
      </c>
      <c r="Q383" s="202">
        <v>2400000</v>
      </c>
      <c r="R383" s="18">
        <v>1</v>
      </c>
      <c r="S383" s="203">
        <v>3600000</v>
      </c>
      <c r="T383" s="204" t="s">
        <v>900</v>
      </c>
      <c r="U383" s="18" t="s">
        <v>68</v>
      </c>
      <c r="V383" s="51">
        <v>43269</v>
      </c>
      <c r="W383" s="215">
        <v>1.5</v>
      </c>
      <c r="X383" s="40"/>
      <c r="Y383" s="51"/>
      <c r="Z383" s="110"/>
      <c r="AA383" s="110"/>
      <c r="AB383" s="18"/>
      <c r="AC383" s="18"/>
      <c r="AD383" s="203"/>
      <c r="AE383" s="18"/>
      <c r="AF383" s="18"/>
      <c r="AG383" s="18"/>
      <c r="AH383" s="105"/>
      <c r="AI383" s="110" t="s">
        <v>1346</v>
      </c>
      <c r="AJ383" s="18"/>
      <c r="AK383" s="18"/>
      <c r="AL383" s="201"/>
      <c r="AM383" s="201"/>
      <c r="AN383" s="18"/>
      <c r="AO383" s="18"/>
      <c r="AP383" s="18"/>
      <c r="AQ383" s="18"/>
      <c r="AR383" s="18"/>
      <c r="AS383" s="18"/>
      <c r="AT383" s="18"/>
      <c r="AU383" s="79"/>
    </row>
    <row r="384" spans="1:47" ht="116.25" thickTop="1" thickBot="1" x14ac:dyDescent="0.3">
      <c r="A384" s="249">
        <v>79</v>
      </c>
      <c r="B384" s="250" t="s">
        <v>1347</v>
      </c>
      <c r="C384" s="102" t="s">
        <v>1071</v>
      </c>
      <c r="D384" s="18" t="s">
        <v>286</v>
      </c>
      <c r="E384" s="102" t="s">
        <v>1072</v>
      </c>
      <c r="F384" s="18" t="s">
        <v>53</v>
      </c>
      <c r="G384" s="18" t="s">
        <v>54</v>
      </c>
      <c r="H384" s="25" t="s">
        <v>305</v>
      </c>
      <c r="I384" s="18" t="s">
        <v>56</v>
      </c>
      <c r="J384" s="18" t="s">
        <v>57</v>
      </c>
      <c r="K384" s="102">
        <v>801116</v>
      </c>
      <c r="L384" s="18" t="s">
        <v>1073</v>
      </c>
      <c r="M384" s="18" t="s">
        <v>59</v>
      </c>
      <c r="N384" s="18" t="s">
        <v>60</v>
      </c>
      <c r="O384" s="18" t="s">
        <v>1076</v>
      </c>
      <c r="P384" s="195" t="s">
        <v>1348</v>
      </c>
      <c r="Q384" s="202">
        <v>3450000</v>
      </c>
      <c r="R384" s="18">
        <v>1</v>
      </c>
      <c r="S384" s="203">
        <v>5175000</v>
      </c>
      <c r="T384" s="204" t="s">
        <v>900</v>
      </c>
      <c r="U384" s="18" t="s">
        <v>68</v>
      </c>
      <c r="V384" s="51">
        <v>43254</v>
      </c>
      <c r="W384" s="215">
        <v>1.5</v>
      </c>
      <c r="X384" s="40"/>
      <c r="Y384" s="51"/>
      <c r="Z384" s="110"/>
      <c r="AA384" s="110"/>
      <c r="AB384" s="18"/>
      <c r="AC384" s="18"/>
      <c r="AD384" s="203"/>
      <c r="AE384" s="18"/>
      <c r="AF384" s="18"/>
      <c r="AG384" s="18"/>
      <c r="AH384" s="105"/>
      <c r="AI384" s="110" t="s">
        <v>1349</v>
      </c>
      <c r="AJ384" s="18"/>
      <c r="AK384" s="18"/>
      <c r="AL384" s="201"/>
      <c r="AM384" s="201"/>
      <c r="AN384" s="18"/>
      <c r="AO384" s="18"/>
      <c r="AP384" s="18"/>
      <c r="AQ384" s="18"/>
      <c r="AR384" s="18"/>
      <c r="AS384" s="18"/>
      <c r="AT384" s="18"/>
      <c r="AU384" s="79"/>
    </row>
    <row r="385" spans="1:47" ht="103.5" thickTop="1" thickBot="1" x14ac:dyDescent="0.3">
      <c r="A385" s="249">
        <v>80</v>
      </c>
      <c r="B385" s="250" t="s">
        <v>1350</v>
      </c>
      <c r="C385" s="102" t="s">
        <v>1071</v>
      </c>
      <c r="D385" s="18" t="s">
        <v>286</v>
      </c>
      <c r="E385" s="102" t="s">
        <v>1072</v>
      </c>
      <c r="F385" s="18" t="s">
        <v>53</v>
      </c>
      <c r="G385" s="18" t="s">
        <v>54</v>
      </c>
      <c r="H385" s="25" t="s">
        <v>305</v>
      </c>
      <c r="I385" s="18" t="s">
        <v>56</v>
      </c>
      <c r="J385" s="18" t="s">
        <v>57</v>
      </c>
      <c r="K385" s="102">
        <v>801116</v>
      </c>
      <c r="L385" s="18" t="s">
        <v>1073</v>
      </c>
      <c r="M385" s="18" t="s">
        <v>59</v>
      </c>
      <c r="N385" s="18" t="s">
        <v>60</v>
      </c>
      <c r="O385" s="18" t="s">
        <v>1076</v>
      </c>
      <c r="P385" s="195" t="s">
        <v>1351</v>
      </c>
      <c r="Q385" s="202">
        <v>2400000</v>
      </c>
      <c r="R385" s="18">
        <v>1</v>
      </c>
      <c r="S385" s="203">
        <v>3600000</v>
      </c>
      <c r="T385" s="204" t="s">
        <v>900</v>
      </c>
      <c r="U385" s="18" t="s">
        <v>68</v>
      </c>
      <c r="V385" s="51">
        <v>43271</v>
      </c>
      <c r="W385" s="215">
        <v>1.5</v>
      </c>
      <c r="X385" s="40"/>
      <c r="Y385" s="51"/>
      <c r="Z385" s="110"/>
      <c r="AA385" s="110"/>
      <c r="AB385" s="18"/>
      <c r="AC385" s="18"/>
      <c r="AD385" s="203"/>
      <c r="AE385" s="18"/>
      <c r="AF385" s="18"/>
      <c r="AG385" s="18"/>
      <c r="AH385" s="105"/>
      <c r="AI385" s="110" t="s">
        <v>1352</v>
      </c>
      <c r="AJ385" s="18"/>
      <c r="AK385" s="18"/>
      <c r="AL385" s="201"/>
      <c r="AM385" s="201"/>
      <c r="AN385" s="18"/>
      <c r="AO385" s="18"/>
      <c r="AP385" s="18"/>
      <c r="AQ385" s="18"/>
      <c r="AR385" s="18"/>
      <c r="AS385" s="18"/>
      <c r="AT385" s="18"/>
      <c r="AU385" s="79"/>
    </row>
    <row r="386" spans="1:47" ht="103.5" thickTop="1" thickBot="1" x14ac:dyDescent="0.3">
      <c r="A386" s="249">
        <v>81</v>
      </c>
      <c r="B386" s="250" t="s">
        <v>1353</v>
      </c>
      <c r="C386" s="102" t="s">
        <v>1071</v>
      </c>
      <c r="D386" s="18" t="s">
        <v>286</v>
      </c>
      <c r="E386" s="102" t="s">
        <v>1072</v>
      </c>
      <c r="F386" s="18" t="s">
        <v>53</v>
      </c>
      <c r="G386" s="18" t="s">
        <v>54</v>
      </c>
      <c r="H386" s="25" t="s">
        <v>305</v>
      </c>
      <c r="I386" s="18" t="s">
        <v>56</v>
      </c>
      <c r="J386" s="18" t="s">
        <v>57</v>
      </c>
      <c r="K386" s="102">
        <v>801116</v>
      </c>
      <c r="L386" s="18" t="s">
        <v>1073</v>
      </c>
      <c r="M386" s="18" t="s">
        <v>59</v>
      </c>
      <c r="N386" s="18" t="s">
        <v>60</v>
      </c>
      <c r="O386" s="18" t="s">
        <v>1076</v>
      </c>
      <c r="P386" s="195" t="s">
        <v>1354</v>
      </c>
      <c r="Q386" s="202">
        <v>2400000</v>
      </c>
      <c r="R386" s="18">
        <v>1</v>
      </c>
      <c r="S386" s="203">
        <v>3600000</v>
      </c>
      <c r="T386" s="204" t="s">
        <v>900</v>
      </c>
      <c r="U386" s="18" t="s">
        <v>68</v>
      </c>
      <c r="V386" s="51">
        <v>43269</v>
      </c>
      <c r="W386" s="215">
        <v>1.5</v>
      </c>
      <c r="X386" s="40"/>
      <c r="Y386" s="51"/>
      <c r="Z386" s="110"/>
      <c r="AA386" s="110"/>
      <c r="AB386" s="18"/>
      <c r="AC386" s="18"/>
      <c r="AD386" s="203"/>
      <c r="AE386" s="18"/>
      <c r="AF386" s="18"/>
      <c r="AG386" s="18"/>
      <c r="AH386" s="105"/>
      <c r="AI386" s="110" t="s">
        <v>1355</v>
      </c>
      <c r="AJ386" s="18"/>
      <c r="AK386" s="18"/>
      <c r="AL386" s="201"/>
      <c r="AM386" s="201"/>
      <c r="AN386" s="18"/>
      <c r="AO386" s="18"/>
      <c r="AP386" s="18"/>
      <c r="AQ386" s="18"/>
      <c r="AR386" s="18"/>
      <c r="AS386" s="18"/>
      <c r="AT386" s="18"/>
      <c r="AU386" s="79"/>
    </row>
    <row r="387" spans="1:47" ht="116.25" thickTop="1" thickBot="1" x14ac:dyDescent="0.3">
      <c r="A387" s="249">
        <v>82</v>
      </c>
      <c r="B387" s="250" t="s">
        <v>1356</v>
      </c>
      <c r="C387" s="102" t="s">
        <v>1071</v>
      </c>
      <c r="D387" s="18" t="s">
        <v>286</v>
      </c>
      <c r="E387" s="102" t="s">
        <v>1072</v>
      </c>
      <c r="F387" s="18" t="s">
        <v>53</v>
      </c>
      <c r="G387" s="18" t="s">
        <v>54</v>
      </c>
      <c r="H387" s="25" t="s">
        <v>305</v>
      </c>
      <c r="I387" s="18" t="s">
        <v>56</v>
      </c>
      <c r="J387" s="18" t="s">
        <v>57</v>
      </c>
      <c r="K387" s="102">
        <v>801116</v>
      </c>
      <c r="L387" s="18" t="s">
        <v>1073</v>
      </c>
      <c r="M387" s="18" t="s">
        <v>59</v>
      </c>
      <c r="N387" s="18" t="s">
        <v>60</v>
      </c>
      <c r="O387" s="18" t="s">
        <v>1076</v>
      </c>
      <c r="P387" s="195" t="s">
        <v>1357</v>
      </c>
      <c r="Q387" s="202">
        <v>3300000</v>
      </c>
      <c r="R387" s="18">
        <v>1</v>
      </c>
      <c r="S387" s="203">
        <v>3300000</v>
      </c>
      <c r="T387" s="204" t="s">
        <v>900</v>
      </c>
      <c r="U387" s="18" t="s">
        <v>68</v>
      </c>
      <c r="V387" s="51">
        <v>43286</v>
      </c>
      <c r="W387" s="205">
        <v>1</v>
      </c>
      <c r="X387" s="40"/>
      <c r="Y387" s="51"/>
      <c r="Z387" s="110"/>
      <c r="AA387" s="110"/>
      <c r="AB387" s="18"/>
      <c r="AC387" s="18"/>
      <c r="AD387" s="203"/>
      <c r="AE387" s="18"/>
      <c r="AF387" s="18"/>
      <c r="AG387" s="18"/>
      <c r="AH387" s="105"/>
      <c r="AI387" s="110" t="s">
        <v>1358</v>
      </c>
      <c r="AJ387" s="18"/>
      <c r="AK387" s="18"/>
      <c r="AL387" s="201"/>
      <c r="AM387" s="201"/>
      <c r="AN387" s="18"/>
      <c r="AO387" s="18"/>
      <c r="AP387" s="18"/>
      <c r="AQ387" s="18"/>
      <c r="AR387" s="18"/>
      <c r="AS387" s="18"/>
      <c r="AT387" s="18"/>
      <c r="AU387" s="79"/>
    </row>
    <row r="388" spans="1:47" ht="103.5" thickTop="1" thickBot="1" x14ac:dyDescent="0.3">
      <c r="A388" s="249">
        <v>83</v>
      </c>
      <c r="B388" s="250" t="s">
        <v>1359</v>
      </c>
      <c r="C388" s="102" t="s">
        <v>1071</v>
      </c>
      <c r="D388" s="18" t="s">
        <v>286</v>
      </c>
      <c r="E388" s="102" t="s">
        <v>1072</v>
      </c>
      <c r="F388" s="18" t="s">
        <v>53</v>
      </c>
      <c r="G388" s="18" t="s">
        <v>54</v>
      </c>
      <c r="H388" s="25" t="s">
        <v>305</v>
      </c>
      <c r="I388" s="18" t="s">
        <v>56</v>
      </c>
      <c r="J388" s="18" t="s">
        <v>57</v>
      </c>
      <c r="K388" s="102">
        <v>801116</v>
      </c>
      <c r="L388" s="18" t="s">
        <v>1073</v>
      </c>
      <c r="M388" s="18" t="s">
        <v>59</v>
      </c>
      <c r="N388" s="18" t="s">
        <v>60</v>
      </c>
      <c r="O388" s="18" t="s">
        <v>1076</v>
      </c>
      <c r="P388" s="195" t="s">
        <v>1360</v>
      </c>
      <c r="Q388" s="202">
        <v>5100000</v>
      </c>
      <c r="R388" s="18">
        <v>1</v>
      </c>
      <c r="S388" s="203">
        <v>5100000</v>
      </c>
      <c r="T388" s="204" t="s">
        <v>900</v>
      </c>
      <c r="U388" s="18" t="s">
        <v>68</v>
      </c>
      <c r="V388" s="51">
        <v>43285</v>
      </c>
      <c r="W388" s="205">
        <v>1</v>
      </c>
      <c r="X388" s="40"/>
      <c r="Y388" s="51"/>
      <c r="Z388" s="110"/>
      <c r="AA388" s="110"/>
      <c r="AB388" s="18"/>
      <c r="AC388" s="18"/>
      <c r="AD388" s="203"/>
      <c r="AE388" s="18"/>
      <c r="AF388" s="18"/>
      <c r="AG388" s="18"/>
      <c r="AH388" s="105"/>
      <c r="AI388" s="110" t="s">
        <v>1361</v>
      </c>
      <c r="AJ388" s="18"/>
      <c r="AK388" s="18"/>
      <c r="AL388" s="201"/>
      <c r="AM388" s="201"/>
      <c r="AN388" s="18"/>
      <c r="AO388" s="18"/>
      <c r="AP388" s="18"/>
      <c r="AQ388" s="18"/>
      <c r="AR388" s="18"/>
      <c r="AS388" s="18"/>
      <c r="AT388" s="18"/>
      <c r="AU388" s="79"/>
    </row>
    <row r="389" spans="1:47" ht="103.5" thickTop="1" thickBot="1" x14ac:dyDescent="0.3">
      <c r="A389" s="249">
        <v>84</v>
      </c>
      <c r="B389" s="250" t="s">
        <v>1362</v>
      </c>
      <c r="C389" s="102" t="s">
        <v>1071</v>
      </c>
      <c r="D389" s="18" t="s">
        <v>286</v>
      </c>
      <c r="E389" s="102" t="s">
        <v>1072</v>
      </c>
      <c r="F389" s="18" t="s">
        <v>53</v>
      </c>
      <c r="G389" s="18" t="s">
        <v>54</v>
      </c>
      <c r="H389" s="25" t="s">
        <v>305</v>
      </c>
      <c r="I389" s="18" t="s">
        <v>56</v>
      </c>
      <c r="J389" s="18" t="s">
        <v>57</v>
      </c>
      <c r="K389" s="102">
        <v>801116</v>
      </c>
      <c r="L389" s="18" t="s">
        <v>1073</v>
      </c>
      <c r="M389" s="18" t="s">
        <v>59</v>
      </c>
      <c r="N389" s="18" t="s">
        <v>60</v>
      </c>
      <c r="O389" s="18" t="s">
        <v>1076</v>
      </c>
      <c r="P389" s="195" t="s">
        <v>1363</v>
      </c>
      <c r="Q389" s="202">
        <v>1700000</v>
      </c>
      <c r="R389" s="18">
        <v>1</v>
      </c>
      <c r="S389" s="203">
        <v>2550000</v>
      </c>
      <c r="T389" s="204" t="s">
        <v>900</v>
      </c>
      <c r="U389" s="18" t="s">
        <v>68</v>
      </c>
      <c r="V389" s="51">
        <v>43254</v>
      </c>
      <c r="W389" s="215">
        <v>1.5</v>
      </c>
      <c r="X389" s="40"/>
      <c r="Y389" s="51"/>
      <c r="Z389" s="110"/>
      <c r="AA389" s="110"/>
      <c r="AB389" s="18"/>
      <c r="AC389" s="18"/>
      <c r="AD389" s="203"/>
      <c r="AE389" s="18"/>
      <c r="AF389" s="18"/>
      <c r="AG389" s="18"/>
      <c r="AH389" s="105"/>
      <c r="AI389" s="110" t="s">
        <v>1364</v>
      </c>
      <c r="AJ389" s="18"/>
      <c r="AK389" s="18"/>
      <c r="AL389" s="201"/>
      <c r="AM389" s="201"/>
      <c r="AN389" s="18"/>
      <c r="AO389" s="18"/>
      <c r="AP389" s="18"/>
      <c r="AQ389" s="18"/>
      <c r="AR389" s="18"/>
      <c r="AS389" s="18"/>
      <c r="AT389" s="18"/>
      <c r="AU389" s="79"/>
    </row>
    <row r="390" spans="1:47" ht="116.25" thickTop="1" thickBot="1" x14ac:dyDescent="0.3">
      <c r="A390" s="249">
        <v>85</v>
      </c>
      <c r="B390" s="250" t="s">
        <v>1365</v>
      </c>
      <c r="C390" s="102" t="s">
        <v>1071</v>
      </c>
      <c r="D390" s="18" t="s">
        <v>286</v>
      </c>
      <c r="E390" s="102" t="s">
        <v>1072</v>
      </c>
      <c r="F390" s="18" t="s">
        <v>53</v>
      </c>
      <c r="G390" s="18" t="s">
        <v>54</v>
      </c>
      <c r="H390" s="25" t="s">
        <v>305</v>
      </c>
      <c r="I390" s="18" t="s">
        <v>56</v>
      </c>
      <c r="J390" s="18" t="s">
        <v>57</v>
      </c>
      <c r="K390" s="102">
        <v>801116</v>
      </c>
      <c r="L390" s="18" t="s">
        <v>1073</v>
      </c>
      <c r="M390" s="18" t="s">
        <v>59</v>
      </c>
      <c r="N390" s="18" t="s">
        <v>60</v>
      </c>
      <c r="O390" s="18" t="s">
        <v>1076</v>
      </c>
      <c r="P390" s="195" t="s">
        <v>1366</v>
      </c>
      <c r="Q390" s="202">
        <v>5100000</v>
      </c>
      <c r="R390" s="18">
        <v>1</v>
      </c>
      <c r="S390" s="203">
        <v>7650000</v>
      </c>
      <c r="T390" s="204" t="s">
        <v>900</v>
      </c>
      <c r="U390" s="18" t="s">
        <v>68</v>
      </c>
      <c r="V390" s="51">
        <v>43256</v>
      </c>
      <c r="W390" s="215">
        <v>1.5</v>
      </c>
      <c r="X390" s="40"/>
      <c r="Y390" s="51"/>
      <c r="Z390" s="110"/>
      <c r="AA390" s="110"/>
      <c r="AB390" s="18"/>
      <c r="AC390" s="18"/>
      <c r="AD390" s="203"/>
      <c r="AE390" s="18"/>
      <c r="AF390" s="18"/>
      <c r="AG390" s="18"/>
      <c r="AH390" s="105"/>
      <c r="AI390" s="110" t="s">
        <v>1367</v>
      </c>
      <c r="AJ390" s="18"/>
      <c r="AK390" s="18"/>
      <c r="AL390" s="201"/>
      <c r="AM390" s="201"/>
      <c r="AN390" s="18"/>
      <c r="AO390" s="18"/>
      <c r="AP390" s="18"/>
      <c r="AQ390" s="18"/>
      <c r="AR390" s="18"/>
      <c r="AS390" s="18"/>
      <c r="AT390" s="18"/>
      <c r="AU390" s="79"/>
    </row>
    <row r="391" spans="1:47" ht="294.75" thickTop="1" thickBot="1" x14ac:dyDescent="0.3">
      <c r="A391" s="249">
        <v>86</v>
      </c>
      <c r="B391" s="250" t="s">
        <v>1368</v>
      </c>
      <c r="C391" s="102" t="s">
        <v>1071</v>
      </c>
      <c r="D391" s="18" t="s">
        <v>286</v>
      </c>
      <c r="E391" s="102" t="s">
        <v>1082</v>
      </c>
      <c r="F391" s="18" t="s">
        <v>53</v>
      </c>
      <c r="G391" s="18" t="s">
        <v>54</v>
      </c>
      <c r="H391" s="25" t="s">
        <v>305</v>
      </c>
      <c r="I391" s="18" t="s">
        <v>56</v>
      </c>
      <c r="J391" s="18" t="s">
        <v>57</v>
      </c>
      <c r="K391" s="102">
        <v>801116</v>
      </c>
      <c r="L391" s="102" t="s">
        <v>1073</v>
      </c>
      <c r="M391" s="102" t="s">
        <v>1074</v>
      </c>
      <c r="N391" s="102" t="s">
        <v>1075</v>
      </c>
      <c r="O391" s="102" t="s">
        <v>1076</v>
      </c>
      <c r="P391" s="195" t="s">
        <v>1369</v>
      </c>
      <c r="Q391" s="202">
        <v>8240000</v>
      </c>
      <c r="R391" s="18">
        <v>1</v>
      </c>
      <c r="S391" s="203">
        <v>90640000</v>
      </c>
      <c r="T391" s="204" t="s">
        <v>900</v>
      </c>
      <c r="U391" s="18" t="s">
        <v>68</v>
      </c>
      <c r="V391" s="51">
        <v>43111</v>
      </c>
      <c r="W391" s="205">
        <v>11</v>
      </c>
      <c r="X391" s="40" t="s">
        <v>1370</v>
      </c>
      <c r="Y391" s="51">
        <v>43111</v>
      </c>
      <c r="Z391" s="201">
        <v>90640000</v>
      </c>
      <c r="AA391" s="216" t="s">
        <v>1371</v>
      </c>
      <c r="AB391" s="18">
        <v>473</v>
      </c>
      <c r="AC391" s="51">
        <v>43112</v>
      </c>
      <c r="AD391" s="203">
        <v>90640000</v>
      </c>
      <c r="AE391" s="18"/>
      <c r="AF391" s="18">
        <v>222</v>
      </c>
      <c r="AG391" s="51">
        <v>43118</v>
      </c>
      <c r="AH391" s="211">
        <v>90640000</v>
      </c>
      <c r="AI391" s="110" t="s">
        <v>1372</v>
      </c>
      <c r="AJ391" s="18">
        <v>193</v>
      </c>
      <c r="AK391" s="18"/>
      <c r="AL391" s="201">
        <v>90640000</v>
      </c>
      <c r="AM391" s="201">
        <v>19776000</v>
      </c>
      <c r="AN391" s="201">
        <f t="shared" ref="AN391:AN392" si="54">AL391-AM391</f>
        <v>70864000</v>
      </c>
      <c r="AO391" s="18"/>
      <c r="AP391" s="18"/>
      <c r="AQ391" s="40" t="s">
        <v>1373</v>
      </c>
      <c r="AR391" s="51">
        <v>43111</v>
      </c>
      <c r="AS391" s="18" t="s">
        <v>1085</v>
      </c>
      <c r="AT391" s="51">
        <v>43111</v>
      </c>
      <c r="AU391" s="79" t="s">
        <v>1092</v>
      </c>
    </row>
    <row r="392" spans="1:47" ht="384" thickTop="1" thickBot="1" x14ac:dyDescent="0.3">
      <c r="A392" s="249">
        <v>87</v>
      </c>
      <c r="B392" s="250" t="s">
        <v>1374</v>
      </c>
      <c r="C392" s="102" t="s">
        <v>1071</v>
      </c>
      <c r="D392" s="18" t="s">
        <v>286</v>
      </c>
      <c r="E392" s="102" t="s">
        <v>1082</v>
      </c>
      <c r="F392" s="18" t="s">
        <v>53</v>
      </c>
      <c r="G392" s="18" t="s">
        <v>54</v>
      </c>
      <c r="H392" s="25" t="s">
        <v>305</v>
      </c>
      <c r="I392" s="18" t="s">
        <v>56</v>
      </c>
      <c r="J392" s="18" t="s">
        <v>57</v>
      </c>
      <c r="K392" s="102">
        <v>801116</v>
      </c>
      <c r="L392" s="102" t="s">
        <v>1073</v>
      </c>
      <c r="M392" s="102" t="s">
        <v>1074</v>
      </c>
      <c r="N392" s="102" t="s">
        <v>1075</v>
      </c>
      <c r="O392" s="102" t="s">
        <v>1076</v>
      </c>
      <c r="P392" s="195" t="s">
        <v>1375</v>
      </c>
      <c r="Q392" s="202">
        <v>1259175</v>
      </c>
      <c r="R392" s="18">
        <v>1</v>
      </c>
      <c r="S392" s="203">
        <v>13850925</v>
      </c>
      <c r="T392" s="204" t="s">
        <v>900</v>
      </c>
      <c r="U392" s="18" t="s">
        <v>68</v>
      </c>
      <c r="V392" s="51">
        <v>43125</v>
      </c>
      <c r="W392" s="205">
        <v>11</v>
      </c>
      <c r="X392" s="40" t="s">
        <v>1376</v>
      </c>
      <c r="Y392" s="51">
        <v>43115</v>
      </c>
      <c r="Z392" s="110">
        <v>13850925</v>
      </c>
      <c r="AA392" s="216" t="s">
        <v>1377</v>
      </c>
      <c r="AB392" s="18">
        <v>499</v>
      </c>
      <c r="AC392" s="51">
        <v>43116</v>
      </c>
      <c r="AD392" s="203">
        <v>13850925</v>
      </c>
      <c r="AE392" s="18"/>
      <c r="AF392" s="18">
        <v>179</v>
      </c>
      <c r="AG392" s="51">
        <v>43118</v>
      </c>
      <c r="AH392" s="211">
        <v>13850925</v>
      </c>
      <c r="AI392" s="110" t="s">
        <v>396</v>
      </c>
      <c r="AJ392" s="18">
        <v>160</v>
      </c>
      <c r="AK392" s="18"/>
      <c r="AL392" s="201">
        <v>13850925</v>
      </c>
      <c r="AM392" s="201">
        <v>3063994</v>
      </c>
      <c r="AN392" s="201">
        <f t="shared" si="54"/>
        <v>10786931</v>
      </c>
      <c r="AO392" s="18"/>
      <c r="AP392" s="18"/>
      <c r="AQ392" s="40" t="s">
        <v>1378</v>
      </c>
      <c r="AR392" s="51">
        <v>43115</v>
      </c>
      <c r="AS392" s="18" t="s">
        <v>1085</v>
      </c>
      <c r="AT392" s="51">
        <v>43115</v>
      </c>
      <c r="AU392" s="79" t="s">
        <v>1092</v>
      </c>
    </row>
    <row r="393" spans="1:47" ht="384" thickTop="1" thickBot="1" x14ac:dyDescent="0.3">
      <c r="A393" s="249">
        <v>88</v>
      </c>
      <c r="B393" s="250" t="s">
        <v>1379</v>
      </c>
      <c r="C393" s="102" t="s">
        <v>1071</v>
      </c>
      <c r="D393" s="18" t="s">
        <v>286</v>
      </c>
      <c r="E393" s="102" t="s">
        <v>1072</v>
      </c>
      <c r="F393" s="18" t="s">
        <v>53</v>
      </c>
      <c r="G393" s="18" t="s">
        <v>54</v>
      </c>
      <c r="H393" s="25" t="s">
        <v>305</v>
      </c>
      <c r="I393" s="18" t="s">
        <v>56</v>
      </c>
      <c r="J393" s="18" t="s">
        <v>57</v>
      </c>
      <c r="K393" s="102">
        <v>801116</v>
      </c>
      <c r="L393" s="102" t="s">
        <v>1073</v>
      </c>
      <c r="M393" s="102" t="s">
        <v>1074</v>
      </c>
      <c r="N393" s="102" t="s">
        <v>1075</v>
      </c>
      <c r="O393" s="102" t="s">
        <v>1076</v>
      </c>
      <c r="P393" s="195" t="s">
        <v>1380</v>
      </c>
      <c r="Q393" s="202">
        <v>1030000</v>
      </c>
      <c r="R393" s="18">
        <v>1</v>
      </c>
      <c r="S393" s="203">
        <v>11330000</v>
      </c>
      <c r="T393" s="204" t="s">
        <v>900</v>
      </c>
      <c r="U393" s="18" t="s">
        <v>68</v>
      </c>
      <c r="V393" s="51">
        <v>43125</v>
      </c>
      <c r="W393" s="205">
        <v>11</v>
      </c>
      <c r="X393" s="40" t="s">
        <v>1381</v>
      </c>
      <c r="Y393" s="51">
        <v>43115</v>
      </c>
      <c r="Z393" s="110">
        <v>11330000</v>
      </c>
      <c r="AA393" s="216" t="s">
        <v>1382</v>
      </c>
      <c r="AB393" s="18">
        <v>500</v>
      </c>
      <c r="AC393" s="51">
        <v>43116</v>
      </c>
      <c r="AD393" s="203">
        <v>11330000</v>
      </c>
      <c r="AE393" s="18"/>
      <c r="AF393" s="18">
        <v>374</v>
      </c>
      <c r="AG393" s="51">
        <v>43124</v>
      </c>
      <c r="AH393" s="211">
        <v>11330000</v>
      </c>
      <c r="AI393" s="110" t="s">
        <v>399</v>
      </c>
      <c r="AJ393" s="18">
        <v>304</v>
      </c>
      <c r="AK393" s="18"/>
      <c r="AL393" s="201">
        <v>11330000</v>
      </c>
      <c r="AM393" s="201">
        <v>2300333</v>
      </c>
      <c r="AN393" s="201">
        <f>AL393-AM393</f>
        <v>9029667</v>
      </c>
      <c r="AO393" s="18"/>
      <c r="AP393" s="18"/>
      <c r="AQ393" s="40" t="s">
        <v>1383</v>
      </c>
      <c r="AR393" s="51">
        <v>43115</v>
      </c>
      <c r="AS393" s="18" t="s">
        <v>1085</v>
      </c>
      <c r="AT393" s="51">
        <v>43115</v>
      </c>
      <c r="AU393" s="79" t="s">
        <v>1092</v>
      </c>
    </row>
    <row r="394" spans="1:47" ht="282" thickTop="1" thickBot="1" x14ac:dyDescent="0.3">
      <c r="A394" s="249">
        <v>89</v>
      </c>
      <c r="B394" s="250" t="s">
        <v>1384</v>
      </c>
      <c r="C394" s="102" t="s">
        <v>1071</v>
      </c>
      <c r="D394" s="18" t="s">
        <v>286</v>
      </c>
      <c r="E394" s="102" t="s">
        <v>1080</v>
      </c>
      <c r="F394" s="18" t="s">
        <v>53</v>
      </c>
      <c r="G394" s="18" t="s">
        <v>54</v>
      </c>
      <c r="H394" s="25" t="s">
        <v>305</v>
      </c>
      <c r="I394" s="18" t="s">
        <v>56</v>
      </c>
      <c r="J394" s="18" t="s">
        <v>57</v>
      </c>
      <c r="K394" s="102">
        <v>801116</v>
      </c>
      <c r="L394" s="102" t="s">
        <v>1073</v>
      </c>
      <c r="M394" s="102" t="s">
        <v>1074</v>
      </c>
      <c r="N394" s="102" t="s">
        <v>1075</v>
      </c>
      <c r="O394" s="102" t="s">
        <v>1076</v>
      </c>
      <c r="P394" s="217" t="s">
        <v>1385</v>
      </c>
      <c r="Q394" s="202">
        <v>3553000</v>
      </c>
      <c r="R394" s="18">
        <v>1</v>
      </c>
      <c r="S394" s="178">
        <f>28424000-1232000</f>
        <v>27192000</v>
      </c>
      <c r="T394" s="204" t="s">
        <v>900</v>
      </c>
      <c r="U394" s="18" t="s">
        <v>68</v>
      </c>
      <c r="V394" s="51">
        <v>43122</v>
      </c>
      <c r="W394" s="18">
        <v>8</v>
      </c>
      <c r="X394" s="40" t="s">
        <v>1386</v>
      </c>
      <c r="Y394" s="51">
        <v>43122</v>
      </c>
      <c r="Z394" s="110">
        <v>28424000</v>
      </c>
      <c r="AA394" s="216" t="s">
        <v>1387</v>
      </c>
      <c r="AB394" s="18">
        <v>557</v>
      </c>
      <c r="AC394" s="34"/>
      <c r="AD394" s="203"/>
      <c r="AE394" s="18"/>
      <c r="AF394" s="18">
        <v>467</v>
      </c>
      <c r="AG394" s="18"/>
      <c r="AH394" s="211">
        <v>27192000</v>
      </c>
      <c r="AI394" s="110" t="s">
        <v>1388</v>
      </c>
      <c r="AJ394" s="34"/>
      <c r="AK394" s="34"/>
      <c r="AL394" s="201">
        <v>27192000</v>
      </c>
      <c r="AM394" s="201">
        <v>7364500</v>
      </c>
      <c r="AN394" s="201">
        <f>+AL394-AM394</f>
        <v>19827500</v>
      </c>
      <c r="AO394" s="34"/>
      <c r="AP394" s="34"/>
      <c r="AQ394" s="40" t="s">
        <v>1389</v>
      </c>
      <c r="AR394" s="51">
        <v>43122</v>
      </c>
      <c r="AS394" s="51" t="s">
        <v>1085</v>
      </c>
      <c r="AT394" s="51">
        <v>43122</v>
      </c>
      <c r="AU394" s="85" t="s">
        <v>1092</v>
      </c>
    </row>
    <row r="395" spans="1:47" ht="282" thickTop="1" thickBot="1" x14ac:dyDescent="0.3">
      <c r="A395" s="249">
        <v>90</v>
      </c>
      <c r="B395" s="250" t="s">
        <v>1390</v>
      </c>
      <c r="C395" s="102" t="s">
        <v>1071</v>
      </c>
      <c r="D395" s="18" t="s">
        <v>286</v>
      </c>
      <c r="E395" s="102" t="s">
        <v>1072</v>
      </c>
      <c r="F395" s="18" t="s">
        <v>53</v>
      </c>
      <c r="G395" s="18" t="s">
        <v>54</v>
      </c>
      <c r="H395" s="25" t="s">
        <v>305</v>
      </c>
      <c r="I395" s="18" t="s">
        <v>56</v>
      </c>
      <c r="J395" s="18" t="s">
        <v>57</v>
      </c>
      <c r="K395" s="102">
        <v>801116</v>
      </c>
      <c r="L395" s="102" t="s">
        <v>1073</v>
      </c>
      <c r="M395" s="102" t="s">
        <v>1074</v>
      </c>
      <c r="N395" s="102" t="s">
        <v>1075</v>
      </c>
      <c r="O395" s="102" t="s">
        <v>1076</v>
      </c>
      <c r="P395" s="26" t="s">
        <v>1391</v>
      </c>
      <c r="Q395" s="26">
        <v>4120000</v>
      </c>
      <c r="R395" s="26">
        <v>1</v>
      </c>
      <c r="S395" s="178">
        <v>19776000</v>
      </c>
      <c r="T395" s="204" t="s">
        <v>900</v>
      </c>
      <c r="U395" s="18" t="s">
        <v>68</v>
      </c>
      <c r="V395" s="51">
        <v>42757</v>
      </c>
      <c r="W395" s="18">
        <v>8</v>
      </c>
      <c r="X395" s="40" t="s">
        <v>1392</v>
      </c>
      <c r="Y395" s="51">
        <v>42757</v>
      </c>
      <c r="Z395" s="110">
        <v>19776000</v>
      </c>
      <c r="AA395" s="216" t="s">
        <v>1393</v>
      </c>
      <c r="AB395" s="18">
        <v>558</v>
      </c>
      <c r="AC395" s="51">
        <v>42757</v>
      </c>
      <c r="AD395" s="203">
        <v>19776000</v>
      </c>
      <c r="AE395" s="18"/>
      <c r="AF395" s="18">
        <v>470</v>
      </c>
      <c r="AG395" s="51">
        <v>43126</v>
      </c>
      <c r="AH395" s="211">
        <v>19776000</v>
      </c>
      <c r="AI395" s="110" t="s">
        <v>1394</v>
      </c>
      <c r="AJ395" s="18">
        <v>397</v>
      </c>
      <c r="AK395" s="34"/>
      <c r="AL395" s="201">
        <f t="shared" ref="AL395" si="55">AH395</f>
        <v>19776000</v>
      </c>
      <c r="AM395" s="201">
        <v>5356000</v>
      </c>
      <c r="AN395" s="201">
        <f>AL395-AM395</f>
        <v>14420000</v>
      </c>
      <c r="AO395" s="34"/>
      <c r="AP395" s="34"/>
      <c r="AQ395" s="40" t="s">
        <v>1395</v>
      </c>
      <c r="AR395" s="51">
        <v>43122</v>
      </c>
      <c r="AS395" s="51" t="s">
        <v>1085</v>
      </c>
      <c r="AT395" s="51">
        <v>43122</v>
      </c>
      <c r="AU395" s="85" t="s">
        <v>1092</v>
      </c>
    </row>
    <row r="396" spans="1:47" ht="103.5" thickTop="1" thickBot="1" x14ac:dyDescent="0.3">
      <c r="A396" s="249">
        <v>91</v>
      </c>
      <c r="B396" s="250" t="s">
        <v>1396</v>
      </c>
      <c r="C396" s="102" t="s">
        <v>1071</v>
      </c>
      <c r="D396" s="18" t="s">
        <v>286</v>
      </c>
      <c r="E396" s="102" t="s">
        <v>1080</v>
      </c>
      <c r="F396" s="18" t="s">
        <v>53</v>
      </c>
      <c r="G396" s="18" t="s">
        <v>54</v>
      </c>
      <c r="H396" s="25" t="s">
        <v>305</v>
      </c>
      <c r="I396" s="18" t="s">
        <v>56</v>
      </c>
      <c r="J396" s="18" t="s">
        <v>57</v>
      </c>
      <c r="K396" s="102">
        <v>801116</v>
      </c>
      <c r="L396" s="102" t="s">
        <v>1073</v>
      </c>
      <c r="M396" s="102" t="s">
        <v>1074</v>
      </c>
      <c r="N396" s="102" t="s">
        <v>1075</v>
      </c>
      <c r="O396" s="102" t="s">
        <v>1076</v>
      </c>
      <c r="P396" s="195" t="s">
        <v>1251</v>
      </c>
      <c r="Q396" s="202">
        <v>21823535</v>
      </c>
      <c r="R396" s="18">
        <v>1</v>
      </c>
      <c r="S396" s="203">
        <f>21823535-940563</f>
        <v>20882972</v>
      </c>
      <c r="T396" s="204" t="s">
        <v>900</v>
      </c>
      <c r="U396" s="18" t="s">
        <v>68</v>
      </c>
      <c r="V396" s="51">
        <v>43173</v>
      </c>
      <c r="W396" s="18">
        <v>1</v>
      </c>
      <c r="X396" s="40" t="s">
        <v>1397</v>
      </c>
      <c r="Y396" s="51">
        <v>43173</v>
      </c>
      <c r="Z396" s="203">
        <v>20882972</v>
      </c>
      <c r="AA396" s="216" t="s">
        <v>1398</v>
      </c>
      <c r="AB396" s="18">
        <v>753</v>
      </c>
      <c r="AC396" s="213">
        <v>43160</v>
      </c>
      <c r="AD396" s="203">
        <v>20882972</v>
      </c>
      <c r="AE396" s="18"/>
      <c r="AF396" s="18"/>
      <c r="AG396" s="18"/>
      <c r="AH396" s="211"/>
      <c r="AI396" s="110"/>
      <c r="AJ396" s="18"/>
      <c r="AK396" s="18"/>
      <c r="AL396" s="18"/>
      <c r="AM396" s="110"/>
      <c r="AN396" s="18"/>
      <c r="AO396" s="18"/>
      <c r="AP396" s="18"/>
      <c r="AQ396" s="18"/>
      <c r="AR396" s="51">
        <v>43154</v>
      </c>
      <c r="AS396" s="51" t="s">
        <v>1085</v>
      </c>
      <c r="AT396" s="51">
        <v>43157</v>
      </c>
      <c r="AU396" s="79" t="s">
        <v>1399</v>
      </c>
    </row>
    <row r="397" spans="1:47" ht="141.75" thickTop="1" thickBot="1" x14ac:dyDescent="0.3">
      <c r="A397" s="249">
        <v>92</v>
      </c>
      <c r="B397" s="250" t="s">
        <v>1400</v>
      </c>
      <c r="C397" s="102" t="s">
        <v>1071</v>
      </c>
      <c r="D397" s="18" t="s">
        <v>286</v>
      </c>
      <c r="E397" s="102" t="s">
        <v>1082</v>
      </c>
      <c r="F397" s="18" t="s">
        <v>53</v>
      </c>
      <c r="G397" s="18" t="s">
        <v>54</v>
      </c>
      <c r="H397" s="25" t="s">
        <v>305</v>
      </c>
      <c r="I397" s="18" t="s">
        <v>56</v>
      </c>
      <c r="J397" s="18" t="s">
        <v>57</v>
      </c>
      <c r="K397" s="102">
        <v>801116</v>
      </c>
      <c r="L397" s="102" t="s">
        <v>1073</v>
      </c>
      <c r="M397" s="102" t="s">
        <v>1074</v>
      </c>
      <c r="N397" s="102" t="s">
        <v>1075</v>
      </c>
      <c r="O397" s="102" t="s">
        <v>1076</v>
      </c>
      <c r="P397" s="195" t="s">
        <v>1251</v>
      </c>
      <c r="Q397" s="203">
        <v>361828</v>
      </c>
      <c r="R397" s="18">
        <v>1</v>
      </c>
      <c r="S397" s="203">
        <v>361828</v>
      </c>
      <c r="T397" s="204" t="s">
        <v>900</v>
      </c>
      <c r="U397" s="18" t="s">
        <v>68</v>
      </c>
      <c r="V397" s="51">
        <v>43157</v>
      </c>
      <c r="W397" s="205">
        <v>1</v>
      </c>
      <c r="X397" s="40" t="s">
        <v>1401</v>
      </c>
      <c r="Y397" s="51">
        <v>43157</v>
      </c>
      <c r="Z397" s="203">
        <v>361828</v>
      </c>
      <c r="AA397" s="110"/>
      <c r="AB397" s="18">
        <v>753</v>
      </c>
      <c r="AC397" s="213">
        <v>43160</v>
      </c>
      <c r="AD397" s="203">
        <v>361828</v>
      </c>
      <c r="AE397" s="18"/>
      <c r="AF397" s="18"/>
      <c r="AG397" s="51"/>
      <c r="AH397" s="211"/>
      <c r="AI397" s="110"/>
      <c r="AJ397" s="18"/>
      <c r="AK397" s="18"/>
      <c r="AL397" s="201">
        <v>0</v>
      </c>
      <c r="AM397" s="18"/>
      <c r="AN397" s="201"/>
      <c r="AO397" s="18"/>
      <c r="AP397" s="18"/>
      <c r="AQ397" s="18"/>
      <c r="AR397" s="51">
        <v>43154</v>
      </c>
      <c r="AS397" s="18" t="s">
        <v>1085</v>
      </c>
      <c r="AT397" s="51">
        <v>43157</v>
      </c>
      <c r="AU397" s="79" t="s">
        <v>1402</v>
      </c>
    </row>
    <row r="398" spans="1:47" ht="64.5" thickTop="1" x14ac:dyDescent="0.25">
      <c r="A398" s="18">
        <v>1</v>
      </c>
      <c r="B398" s="18" t="s">
        <v>1403</v>
      </c>
      <c r="C398" s="18" t="s">
        <v>1404</v>
      </c>
      <c r="D398" s="18" t="s">
        <v>63</v>
      </c>
      <c r="E398" s="18" t="s">
        <v>63</v>
      </c>
      <c r="F398" s="18" t="s">
        <v>1405</v>
      </c>
      <c r="G398" s="18" t="s">
        <v>1406</v>
      </c>
      <c r="H398" s="18" t="s">
        <v>1407</v>
      </c>
      <c r="I398" s="18" t="s">
        <v>56</v>
      </c>
      <c r="J398" s="18" t="s">
        <v>57</v>
      </c>
      <c r="K398" s="25">
        <v>80111600</v>
      </c>
      <c r="L398" s="26"/>
      <c r="M398" s="26"/>
      <c r="N398" s="26"/>
      <c r="O398" s="26"/>
      <c r="P398" s="25" t="s">
        <v>1408</v>
      </c>
      <c r="Q398" s="88">
        <v>5036700</v>
      </c>
      <c r="R398" s="35">
        <v>1</v>
      </c>
      <c r="S398" s="218">
        <v>57922050</v>
      </c>
      <c r="T398" s="18" t="s">
        <v>1409</v>
      </c>
      <c r="U398" s="18" t="s">
        <v>68</v>
      </c>
      <c r="V398" s="51">
        <v>43112</v>
      </c>
      <c r="W398" s="219">
        <v>11.5</v>
      </c>
      <c r="X398" s="40" t="s">
        <v>1410</v>
      </c>
      <c r="Y398" s="50">
        <v>43102</v>
      </c>
      <c r="Z398" s="203">
        <v>57922050</v>
      </c>
      <c r="AA398" s="110"/>
      <c r="AB398" s="220">
        <v>145</v>
      </c>
      <c r="AC398" s="92" t="s">
        <v>1411</v>
      </c>
      <c r="AD398" s="221">
        <v>57922050</v>
      </c>
      <c r="AE398" s="222">
        <f t="shared" ref="AE398:AE461" si="56">S398-Z398</f>
        <v>0</v>
      </c>
      <c r="AF398" s="223">
        <v>6</v>
      </c>
      <c r="AG398" s="224" t="s">
        <v>1412</v>
      </c>
      <c r="AH398" s="225">
        <v>57922050</v>
      </c>
      <c r="AI398" s="224" t="s">
        <v>1413</v>
      </c>
      <c r="AJ398" s="226">
        <v>6</v>
      </c>
      <c r="AK398" s="226"/>
      <c r="AL398" s="225">
        <v>0</v>
      </c>
      <c r="AM398" s="225">
        <v>57922050</v>
      </c>
      <c r="AN398" s="34"/>
      <c r="AO398" s="34"/>
      <c r="AP398" s="34"/>
      <c r="AQ398" s="34"/>
      <c r="AR398" s="34"/>
      <c r="AS398" s="34"/>
      <c r="AT398" s="34"/>
    </row>
    <row r="399" spans="1:47" ht="76.5" x14ac:dyDescent="0.25">
      <c r="A399" s="18">
        <f>A398+1</f>
        <v>2</v>
      </c>
      <c r="B399" s="18" t="s">
        <v>1414</v>
      </c>
      <c r="C399" s="18" t="s">
        <v>1404</v>
      </c>
      <c r="D399" s="18" t="s">
        <v>63</v>
      </c>
      <c r="E399" s="18" t="s">
        <v>63</v>
      </c>
      <c r="F399" s="18" t="s">
        <v>1405</v>
      </c>
      <c r="G399" s="18" t="s">
        <v>1406</v>
      </c>
      <c r="H399" s="18" t="s">
        <v>1407</v>
      </c>
      <c r="I399" s="18" t="s">
        <v>56</v>
      </c>
      <c r="J399" s="18" t="s">
        <v>57</v>
      </c>
      <c r="K399" s="25">
        <v>80111600</v>
      </c>
      <c r="L399" s="26"/>
      <c r="M399" s="26"/>
      <c r="N399" s="26"/>
      <c r="O399" s="26"/>
      <c r="P399" s="25" t="s">
        <v>1415</v>
      </c>
      <c r="Q399" s="88">
        <v>3553500</v>
      </c>
      <c r="R399" s="35">
        <v>1</v>
      </c>
      <c r="S399" s="218">
        <v>40865250</v>
      </c>
      <c r="T399" s="18" t="s">
        <v>1409</v>
      </c>
      <c r="U399" s="18" t="s">
        <v>68</v>
      </c>
      <c r="V399" s="51">
        <v>43112</v>
      </c>
      <c r="W399" s="219">
        <v>11.5</v>
      </c>
      <c r="X399" s="40" t="s">
        <v>1784</v>
      </c>
      <c r="Y399" s="50">
        <v>43105</v>
      </c>
      <c r="Z399" s="203">
        <v>40865250</v>
      </c>
      <c r="AA399" s="110" t="s">
        <v>1416</v>
      </c>
      <c r="AB399" s="90">
        <v>315</v>
      </c>
      <c r="AC399" s="92" t="s">
        <v>1417</v>
      </c>
      <c r="AD399" s="227">
        <v>40865250</v>
      </c>
      <c r="AE399" s="222">
        <f t="shared" si="56"/>
        <v>0</v>
      </c>
      <c r="AF399" s="223">
        <v>164</v>
      </c>
      <c r="AG399" s="224" t="s">
        <v>1418</v>
      </c>
      <c r="AH399" s="225">
        <v>40865250</v>
      </c>
      <c r="AI399" s="224" t="s">
        <v>1419</v>
      </c>
      <c r="AJ399" s="226">
        <v>122</v>
      </c>
      <c r="AK399" s="226"/>
      <c r="AL399" s="225">
        <v>0</v>
      </c>
      <c r="AM399" s="225">
        <v>40865250</v>
      </c>
      <c r="AN399" s="34"/>
      <c r="AO399" s="34"/>
      <c r="AP399" s="34"/>
      <c r="AQ399" s="34"/>
      <c r="AR399" s="34"/>
      <c r="AS399" s="34"/>
      <c r="AT399" s="34"/>
    </row>
    <row r="400" spans="1:47" ht="114.75" x14ac:dyDescent="0.25">
      <c r="A400" s="18">
        <f t="shared" ref="A400:A462" si="57">A399+1</f>
        <v>3</v>
      </c>
      <c r="B400" s="18" t="s">
        <v>1420</v>
      </c>
      <c r="C400" s="18" t="s">
        <v>1404</v>
      </c>
      <c r="D400" s="18" t="s">
        <v>63</v>
      </c>
      <c r="E400" s="18" t="s">
        <v>63</v>
      </c>
      <c r="F400" s="18" t="s">
        <v>1405</v>
      </c>
      <c r="G400" s="18" t="s">
        <v>1406</v>
      </c>
      <c r="H400" s="18" t="s">
        <v>1407</v>
      </c>
      <c r="I400" s="18" t="s">
        <v>56</v>
      </c>
      <c r="J400" s="18" t="s">
        <v>57</v>
      </c>
      <c r="K400" s="25">
        <v>80111600</v>
      </c>
      <c r="L400" s="26"/>
      <c r="M400" s="26"/>
      <c r="N400" s="26"/>
      <c r="O400" s="26"/>
      <c r="P400" s="25" t="s">
        <v>1421</v>
      </c>
      <c r="Q400" s="88">
        <v>6695000</v>
      </c>
      <c r="R400" s="35">
        <v>1</v>
      </c>
      <c r="S400" s="218">
        <v>76992500</v>
      </c>
      <c r="T400" s="18" t="s">
        <v>1409</v>
      </c>
      <c r="U400" s="18" t="s">
        <v>68</v>
      </c>
      <c r="V400" s="51">
        <v>43112</v>
      </c>
      <c r="W400" s="219">
        <v>11.5</v>
      </c>
      <c r="X400" s="40" t="s">
        <v>1422</v>
      </c>
      <c r="Y400" s="50">
        <v>43102</v>
      </c>
      <c r="Z400" s="203">
        <v>76992500</v>
      </c>
      <c r="AA400" s="110"/>
      <c r="AB400" s="220">
        <v>144</v>
      </c>
      <c r="AC400" s="92" t="s">
        <v>1411</v>
      </c>
      <c r="AD400" s="221">
        <v>76992500</v>
      </c>
      <c r="AE400" s="222">
        <f t="shared" si="56"/>
        <v>0</v>
      </c>
      <c r="AF400" s="223">
        <v>105</v>
      </c>
      <c r="AG400" s="224" t="s">
        <v>1423</v>
      </c>
      <c r="AH400" s="225">
        <v>76992500</v>
      </c>
      <c r="AI400" s="224" t="s">
        <v>1424</v>
      </c>
      <c r="AJ400" s="226">
        <v>92</v>
      </c>
      <c r="AK400" s="226"/>
      <c r="AL400" s="225">
        <v>0</v>
      </c>
      <c r="AM400" s="225">
        <v>76992500</v>
      </c>
      <c r="AN400" s="34"/>
      <c r="AO400" s="34"/>
      <c r="AP400" s="34"/>
      <c r="AQ400" s="34"/>
      <c r="AR400" s="34"/>
      <c r="AS400" s="34"/>
      <c r="AT400" s="34"/>
    </row>
    <row r="401" spans="1:46" ht="63.75" x14ac:dyDescent="0.25">
      <c r="A401" s="18">
        <f t="shared" si="57"/>
        <v>4</v>
      </c>
      <c r="B401" s="18" t="s">
        <v>1425</v>
      </c>
      <c r="C401" s="18" t="s">
        <v>1404</v>
      </c>
      <c r="D401" s="18" t="s">
        <v>63</v>
      </c>
      <c r="E401" s="18" t="s">
        <v>63</v>
      </c>
      <c r="F401" s="18" t="s">
        <v>1405</v>
      </c>
      <c r="G401" s="18" t="s">
        <v>1406</v>
      </c>
      <c r="H401" s="18" t="s">
        <v>1407</v>
      </c>
      <c r="I401" s="18" t="s">
        <v>56</v>
      </c>
      <c r="J401" s="18" t="s">
        <v>57</v>
      </c>
      <c r="K401" s="25">
        <v>80111600</v>
      </c>
      <c r="L401" s="26"/>
      <c r="M401" s="26"/>
      <c r="N401" s="26"/>
      <c r="O401" s="26"/>
      <c r="P401" s="25" t="s">
        <v>1426</v>
      </c>
      <c r="Q401" s="88">
        <v>10000000</v>
      </c>
      <c r="R401" s="35">
        <v>1</v>
      </c>
      <c r="S401" s="218">
        <v>110000000</v>
      </c>
      <c r="T401" s="18" t="s">
        <v>1409</v>
      </c>
      <c r="U401" s="18" t="s">
        <v>68</v>
      </c>
      <c r="V401" s="51">
        <v>43112</v>
      </c>
      <c r="W401" s="219">
        <v>11</v>
      </c>
      <c r="X401" s="40" t="s">
        <v>1427</v>
      </c>
      <c r="Y401" s="50">
        <v>43102</v>
      </c>
      <c r="Z401" s="203">
        <v>110000000</v>
      </c>
      <c r="AA401" s="110"/>
      <c r="AB401" s="220">
        <v>143</v>
      </c>
      <c r="AC401" s="92" t="s">
        <v>1411</v>
      </c>
      <c r="AD401" s="221">
        <v>110000000</v>
      </c>
      <c r="AE401" s="222">
        <f t="shared" si="56"/>
        <v>0</v>
      </c>
      <c r="AF401" s="223">
        <v>383</v>
      </c>
      <c r="AG401" s="224" t="s">
        <v>1428</v>
      </c>
      <c r="AH401" s="225">
        <v>110000000</v>
      </c>
      <c r="AI401" s="224" t="s">
        <v>1429</v>
      </c>
      <c r="AJ401" s="226">
        <v>360</v>
      </c>
      <c r="AK401" s="226"/>
      <c r="AL401" s="225">
        <v>0</v>
      </c>
      <c r="AM401" s="225">
        <v>110000000</v>
      </c>
      <c r="AN401" s="34"/>
      <c r="AO401" s="34"/>
      <c r="AP401" s="34"/>
      <c r="AQ401" s="34"/>
      <c r="AR401" s="34"/>
      <c r="AS401" s="34"/>
      <c r="AT401" s="34"/>
    </row>
    <row r="402" spans="1:46" ht="89.25" x14ac:dyDescent="0.25">
      <c r="A402" s="18">
        <f t="shared" si="57"/>
        <v>5</v>
      </c>
      <c r="B402" s="18" t="s">
        <v>1430</v>
      </c>
      <c r="C402" s="18" t="s">
        <v>1404</v>
      </c>
      <c r="D402" s="18" t="s">
        <v>63</v>
      </c>
      <c r="E402" s="18" t="s">
        <v>63</v>
      </c>
      <c r="F402" s="18" t="s">
        <v>1405</v>
      </c>
      <c r="G402" s="18" t="s">
        <v>1406</v>
      </c>
      <c r="H402" s="18" t="s">
        <v>1407</v>
      </c>
      <c r="I402" s="18" t="s">
        <v>56</v>
      </c>
      <c r="J402" s="18" t="s">
        <v>57</v>
      </c>
      <c r="K402" s="25">
        <v>80111600</v>
      </c>
      <c r="L402" s="26"/>
      <c r="M402" s="26"/>
      <c r="N402" s="26"/>
      <c r="O402" s="26"/>
      <c r="P402" s="25" t="s">
        <v>1431</v>
      </c>
      <c r="Q402" s="88">
        <v>9270000</v>
      </c>
      <c r="R402" s="35">
        <v>1</v>
      </c>
      <c r="S402" s="218">
        <v>106605000</v>
      </c>
      <c r="T402" s="18" t="s">
        <v>1409</v>
      </c>
      <c r="U402" s="18" t="s">
        <v>68</v>
      </c>
      <c r="V402" s="51">
        <v>43112</v>
      </c>
      <c r="W402" s="219">
        <v>11.5</v>
      </c>
      <c r="X402" s="40" t="s">
        <v>1432</v>
      </c>
      <c r="Y402" s="50">
        <v>43102</v>
      </c>
      <c r="Z402" s="203">
        <v>106605000</v>
      </c>
      <c r="AA402" s="110"/>
      <c r="AB402" s="220">
        <v>142</v>
      </c>
      <c r="AC402" s="92" t="s">
        <v>1411</v>
      </c>
      <c r="AD402" s="221">
        <v>106605000</v>
      </c>
      <c r="AE402" s="222">
        <f t="shared" si="56"/>
        <v>0</v>
      </c>
      <c r="AF402" s="223">
        <v>121</v>
      </c>
      <c r="AG402" s="224" t="s">
        <v>1433</v>
      </c>
      <c r="AH402" s="225">
        <v>106605000</v>
      </c>
      <c r="AI402" s="224" t="s">
        <v>1434</v>
      </c>
      <c r="AJ402" s="226">
        <v>101</v>
      </c>
      <c r="AK402" s="226"/>
      <c r="AL402" s="225">
        <v>0</v>
      </c>
      <c r="AM402" s="225">
        <v>106605000</v>
      </c>
      <c r="AN402" s="34"/>
      <c r="AO402" s="34"/>
      <c r="AP402" s="34"/>
      <c r="AQ402" s="34"/>
      <c r="AR402" s="34"/>
      <c r="AS402" s="34"/>
      <c r="AT402" s="34"/>
    </row>
    <row r="403" spans="1:46" ht="89.25" x14ac:dyDescent="0.25">
      <c r="A403" s="18">
        <f t="shared" si="57"/>
        <v>6</v>
      </c>
      <c r="B403" s="18" t="s">
        <v>1435</v>
      </c>
      <c r="C403" s="18" t="s">
        <v>1404</v>
      </c>
      <c r="D403" s="18" t="s">
        <v>63</v>
      </c>
      <c r="E403" s="18" t="s">
        <v>63</v>
      </c>
      <c r="F403" s="18" t="s">
        <v>1405</v>
      </c>
      <c r="G403" s="18" t="s">
        <v>1406</v>
      </c>
      <c r="H403" s="18" t="s">
        <v>1407</v>
      </c>
      <c r="I403" s="18" t="s">
        <v>56</v>
      </c>
      <c r="J403" s="18" t="s">
        <v>57</v>
      </c>
      <c r="K403" s="25">
        <v>80111600</v>
      </c>
      <c r="L403" s="26"/>
      <c r="M403" s="26"/>
      <c r="N403" s="26"/>
      <c r="O403" s="26"/>
      <c r="P403" s="25" t="s">
        <v>1436</v>
      </c>
      <c r="Q403" s="88">
        <v>11900000</v>
      </c>
      <c r="R403" s="35">
        <v>1</v>
      </c>
      <c r="S403" s="218">
        <v>130900000</v>
      </c>
      <c r="T403" s="18" t="s">
        <v>1409</v>
      </c>
      <c r="U403" s="18" t="s">
        <v>68</v>
      </c>
      <c r="V403" s="51">
        <v>43112</v>
      </c>
      <c r="W403" s="219">
        <v>11</v>
      </c>
      <c r="X403" s="40" t="s">
        <v>1437</v>
      </c>
      <c r="Y403" s="50">
        <v>43102</v>
      </c>
      <c r="Z403" s="203">
        <v>130900000</v>
      </c>
      <c r="AA403" s="110"/>
      <c r="AB403" s="220">
        <v>141</v>
      </c>
      <c r="AC403" s="92" t="s">
        <v>1411</v>
      </c>
      <c r="AD403" s="221">
        <v>130900000</v>
      </c>
      <c r="AE403" s="222">
        <f t="shared" si="56"/>
        <v>0</v>
      </c>
      <c r="AF403" s="223">
        <v>214</v>
      </c>
      <c r="AG403" s="224" t="s">
        <v>1418</v>
      </c>
      <c r="AH403" s="225">
        <v>130900000</v>
      </c>
      <c r="AI403" s="224" t="s">
        <v>1438</v>
      </c>
      <c r="AJ403" s="226">
        <v>185</v>
      </c>
      <c r="AK403" s="226"/>
      <c r="AL403" s="225">
        <v>0</v>
      </c>
      <c r="AM403" s="225">
        <v>130900000</v>
      </c>
      <c r="AN403" s="34"/>
      <c r="AO403" s="34"/>
      <c r="AP403" s="34"/>
      <c r="AQ403" s="34"/>
      <c r="AR403" s="34"/>
      <c r="AS403" s="34"/>
      <c r="AT403" s="34"/>
    </row>
    <row r="404" spans="1:46" ht="102" x14ac:dyDescent="0.25">
      <c r="A404" s="18">
        <f t="shared" si="57"/>
        <v>7</v>
      </c>
      <c r="B404" s="18" t="s">
        <v>1439</v>
      </c>
      <c r="C404" s="18" t="s">
        <v>1404</v>
      </c>
      <c r="D404" s="18" t="s">
        <v>63</v>
      </c>
      <c r="E404" s="18" t="s">
        <v>63</v>
      </c>
      <c r="F404" s="18" t="s">
        <v>1405</v>
      </c>
      <c r="G404" s="18" t="s">
        <v>1406</v>
      </c>
      <c r="H404" s="18" t="s">
        <v>1407</v>
      </c>
      <c r="I404" s="18" t="s">
        <v>56</v>
      </c>
      <c r="J404" s="18" t="s">
        <v>57</v>
      </c>
      <c r="K404" s="25">
        <v>80111600</v>
      </c>
      <c r="L404" s="26"/>
      <c r="M404" s="26"/>
      <c r="N404" s="26"/>
      <c r="O404" s="26"/>
      <c r="P404" s="25" t="s">
        <v>1440</v>
      </c>
      <c r="Q404" s="88">
        <v>9270000</v>
      </c>
      <c r="R404" s="35">
        <v>1</v>
      </c>
      <c r="S404" s="218">
        <v>106605000</v>
      </c>
      <c r="T404" s="18" t="s">
        <v>1409</v>
      </c>
      <c r="U404" s="18" t="s">
        <v>68</v>
      </c>
      <c r="V404" s="51">
        <v>43112</v>
      </c>
      <c r="W404" s="219">
        <v>11.5</v>
      </c>
      <c r="X404" s="40" t="s">
        <v>1441</v>
      </c>
      <c r="Y404" s="50">
        <v>43102</v>
      </c>
      <c r="Z404" s="203">
        <v>106605000</v>
      </c>
      <c r="AA404" s="110"/>
      <c r="AB404" s="220">
        <v>140</v>
      </c>
      <c r="AC404" s="92" t="s">
        <v>1411</v>
      </c>
      <c r="AD404" s="221">
        <v>106605000</v>
      </c>
      <c r="AE404" s="222">
        <f t="shared" si="56"/>
        <v>0</v>
      </c>
      <c r="AF404" s="223">
        <v>482</v>
      </c>
      <c r="AG404" s="224" t="s">
        <v>1442</v>
      </c>
      <c r="AH404" s="225">
        <v>49440000</v>
      </c>
      <c r="AI404" s="224" t="s">
        <v>1443</v>
      </c>
      <c r="AJ404" s="226">
        <v>404</v>
      </c>
      <c r="AK404" s="226"/>
      <c r="AL404" s="225">
        <v>0</v>
      </c>
      <c r="AM404" s="225">
        <v>49440000</v>
      </c>
      <c r="AN404" s="34"/>
      <c r="AO404" s="34"/>
      <c r="AP404" s="34"/>
      <c r="AQ404" s="34"/>
      <c r="AR404" s="34"/>
      <c r="AS404" s="34"/>
      <c r="AT404" s="34"/>
    </row>
    <row r="405" spans="1:46" ht="89.25" x14ac:dyDescent="0.25">
      <c r="A405" s="18">
        <f t="shared" si="57"/>
        <v>8</v>
      </c>
      <c r="B405" s="18" t="s">
        <v>1444</v>
      </c>
      <c r="C405" s="18" t="s">
        <v>1404</v>
      </c>
      <c r="D405" s="18" t="s">
        <v>63</v>
      </c>
      <c r="E405" s="18" t="s">
        <v>63</v>
      </c>
      <c r="F405" s="18" t="s">
        <v>1405</v>
      </c>
      <c r="G405" s="18" t="s">
        <v>1406</v>
      </c>
      <c r="H405" s="18" t="s">
        <v>1407</v>
      </c>
      <c r="I405" s="18" t="s">
        <v>56</v>
      </c>
      <c r="J405" s="18" t="s">
        <v>57</v>
      </c>
      <c r="K405" s="25">
        <v>80111600</v>
      </c>
      <c r="L405" s="26"/>
      <c r="M405" s="26"/>
      <c r="N405" s="26"/>
      <c r="O405" s="26"/>
      <c r="P405" s="25" t="s">
        <v>1445</v>
      </c>
      <c r="Q405" s="88">
        <v>4120000</v>
      </c>
      <c r="R405" s="35">
        <v>1</v>
      </c>
      <c r="S405" s="218">
        <v>47380000</v>
      </c>
      <c r="T405" s="18" t="s">
        <v>1409</v>
      </c>
      <c r="U405" s="18" t="s">
        <v>68</v>
      </c>
      <c r="V405" s="228">
        <v>43105</v>
      </c>
      <c r="W405" s="219">
        <v>11.5</v>
      </c>
      <c r="X405" s="40" t="s">
        <v>1446</v>
      </c>
      <c r="Y405" s="50">
        <v>43102</v>
      </c>
      <c r="Z405" s="203">
        <v>47380000</v>
      </c>
      <c r="AA405" s="110"/>
      <c r="AB405" s="220">
        <v>133</v>
      </c>
      <c r="AC405" s="92" t="s">
        <v>1411</v>
      </c>
      <c r="AD405" s="221">
        <v>47380000</v>
      </c>
      <c r="AE405" s="222">
        <f t="shared" si="56"/>
        <v>0</v>
      </c>
      <c r="AF405" s="223">
        <v>47</v>
      </c>
      <c r="AG405" s="224" t="s">
        <v>1423</v>
      </c>
      <c r="AH405" s="225">
        <v>47380000</v>
      </c>
      <c r="AI405" s="224" t="s">
        <v>1447</v>
      </c>
      <c r="AJ405" s="226">
        <v>37</v>
      </c>
      <c r="AK405" s="226"/>
      <c r="AL405" s="225">
        <v>0</v>
      </c>
      <c r="AM405" s="225">
        <v>47380000</v>
      </c>
      <c r="AN405" s="34"/>
      <c r="AO405" s="34"/>
      <c r="AP405" s="34"/>
      <c r="AQ405" s="34"/>
      <c r="AR405" s="34"/>
      <c r="AS405" s="34"/>
      <c r="AT405" s="34"/>
    </row>
    <row r="406" spans="1:46" ht="63.75" x14ac:dyDescent="0.25">
      <c r="A406" s="18">
        <f t="shared" si="57"/>
        <v>9</v>
      </c>
      <c r="B406" s="18" t="s">
        <v>1448</v>
      </c>
      <c r="C406" s="18" t="s">
        <v>1404</v>
      </c>
      <c r="D406" s="18" t="s">
        <v>63</v>
      </c>
      <c r="E406" s="18" t="s">
        <v>63</v>
      </c>
      <c r="F406" s="18" t="s">
        <v>1405</v>
      </c>
      <c r="G406" s="18" t="s">
        <v>1406</v>
      </c>
      <c r="H406" s="18" t="s">
        <v>1407</v>
      </c>
      <c r="I406" s="18" t="s">
        <v>56</v>
      </c>
      <c r="J406" s="18" t="s">
        <v>57</v>
      </c>
      <c r="K406" s="25">
        <v>80111600</v>
      </c>
      <c r="L406" s="26"/>
      <c r="M406" s="26"/>
      <c r="N406" s="26"/>
      <c r="O406" s="26"/>
      <c r="P406" s="25" t="s">
        <v>1449</v>
      </c>
      <c r="Q406" s="88">
        <v>3553500</v>
      </c>
      <c r="R406" s="35">
        <v>1</v>
      </c>
      <c r="S406" s="218">
        <v>40865250</v>
      </c>
      <c r="T406" s="18" t="s">
        <v>1409</v>
      </c>
      <c r="U406" s="18" t="s">
        <v>68</v>
      </c>
      <c r="V406" s="228">
        <v>43105</v>
      </c>
      <c r="W406" s="219">
        <v>11.5</v>
      </c>
      <c r="X406" s="40" t="s">
        <v>1783</v>
      </c>
      <c r="Y406" s="50">
        <v>43105</v>
      </c>
      <c r="Z406" s="203">
        <v>40865250</v>
      </c>
      <c r="AA406" s="110" t="s">
        <v>1448</v>
      </c>
      <c r="AB406" s="220">
        <v>484</v>
      </c>
      <c r="AC406" s="92" t="s">
        <v>1412</v>
      </c>
      <c r="AD406" s="221">
        <v>40865250</v>
      </c>
      <c r="AE406" s="222">
        <f t="shared" si="56"/>
        <v>0</v>
      </c>
      <c r="AF406" s="223">
        <v>112</v>
      </c>
      <c r="AG406" s="224" t="s">
        <v>1433</v>
      </c>
      <c r="AH406" s="225">
        <v>40865250</v>
      </c>
      <c r="AI406" s="224" t="s">
        <v>1450</v>
      </c>
      <c r="AJ406" s="226">
        <v>105</v>
      </c>
      <c r="AK406" s="226"/>
      <c r="AL406" s="225">
        <v>0</v>
      </c>
      <c r="AM406" s="225">
        <v>40865250</v>
      </c>
      <c r="AN406" s="34"/>
      <c r="AO406" s="34"/>
      <c r="AP406" s="34"/>
      <c r="AQ406" s="34"/>
      <c r="AR406" s="34"/>
      <c r="AS406" s="34"/>
      <c r="AT406" s="34"/>
    </row>
    <row r="407" spans="1:46" ht="51" x14ac:dyDescent="0.25">
      <c r="A407" s="18">
        <f t="shared" si="57"/>
        <v>10</v>
      </c>
      <c r="B407" s="18" t="s">
        <v>1451</v>
      </c>
      <c r="C407" s="18" t="s">
        <v>1404</v>
      </c>
      <c r="D407" s="18" t="s">
        <v>63</v>
      </c>
      <c r="E407" s="18" t="s">
        <v>63</v>
      </c>
      <c r="F407" s="18" t="s">
        <v>1405</v>
      </c>
      <c r="G407" s="18" t="s">
        <v>1406</v>
      </c>
      <c r="H407" s="18" t="s">
        <v>1407</v>
      </c>
      <c r="I407" s="18" t="s">
        <v>56</v>
      </c>
      <c r="J407" s="18" t="s">
        <v>57</v>
      </c>
      <c r="K407" s="25">
        <v>80111600</v>
      </c>
      <c r="L407" s="26"/>
      <c r="M407" s="26"/>
      <c r="N407" s="26"/>
      <c r="O407" s="26"/>
      <c r="P407" s="25" t="s">
        <v>1452</v>
      </c>
      <c r="Q407" s="88">
        <v>3399000</v>
      </c>
      <c r="R407" s="35">
        <v>1</v>
      </c>
      <c r="S407" s="218">
        <v>39088500</v>
      </c>
      <c r="T407" s="18" t="s">
        <v>1409</v>
      </c>
      <c r="U407" s="18" t="s">
        <v>68</v>
      </c>
      <c r="V407" s="228">
        <v>43105</v>
      </c>
      <c r="W407" s="219">
        <v>11.5</v>
      </c>
      <c r="X407" s="40" t="s">
        <v>1453</v>
      </c>
      <c r="Y407" s="50">
        <v>43102</v>
      </c>
      <c r="Z407" s="203">
        <v>39088500</v>
      </c>
      <c r="AA407" s="110"/>
      <c r="AB407" s="220">
        <v>132</v>
      </c>
      <c r="AC407" s="92" t="s">
        <v>1411</v>
      </c>
      <c r="AD407" s="221">
        <v>39088500</v>
      </c>
      <c r="AE407" s="222">
        <f t="shared" si="56"/>
        <v>0</v>
      </c>
      <c r="AF407" s="223">
        <v>110</v>
      </c>
      <c r="AG407" s="224" t="s">
        <v>1433</v>
      </c>
      <c r="AH407" s="225">
        <v>39088500</v>
      </c>
      <c r="AI407" s="224" t="s">
        <v>1454</v>
      </c>
      <c r="AJ407" s="226">
        <v>103</v>
      </c>
      <c r="AK407" s="226"/>
      <c r="AL407" s="225">
        <v>0</v>
      </c>
      <c r="AM407" s="225">
        <v>39088500</v>
      </c>
      <c r="AN407" s="34"/>
      <c r="AO407" s="34"/>
      <c r="AP407" s="34"/>
      <c r="AQ407" s="34"/>
      <c r="AR407" s="34"/>
      <c r="AS407" s="34"/>
      <c r="AT407" s="34"/>
    </row>
    <row r="408" spans="1:46" ht="76.5" x14ac:dyDescent="0.25">
      <c r="A408" s="18">
        <f t="shared" si="57"/>
        <v>11</v>
      </c>
      <c r="B408" s="18" t="s">
        <v>1455</v>
      </c>
      <c r="C408" s="18" t="s">
        <v>1404</v>
      </c>
      <c r="D408" s="18" t="s">
        <v>63</v>
      </c>
      <c r="E408" s="18" t="s">
        <v>63</v>
      </c>
      <c r="F408" s="18" t="s">
        <v>1405</v>
      </c>
      <c r="G408" s="18" t="s">
        <v>1406</v>
      </c>
      <c r="H408" s="18" t="s">
        <v>1407</v>
      </c>
      <c r="I408" s="18" t="s">
        <v>56</v>
      </c>
      <c r="J408" s="18" t="s">
        <v>57</v>
      </c>
      <c r="K408" s="25">
        <v>80111600</v>
      </c>
      <c r="L408" s="26"/>
      <c r="M408" s="26"/>
      <c r="N408" s="26"/>
      <c r="O408" s="26"/>
      <c r="P408" s="25" t="s">
        <v>1456</v>
      </c>
      <c r="Q408" s="88">
        <v>5665000</v>
      </c>
      <c r="R408" s="35">
        <v>1</v>
      </c>
      <c r="S408" s="218">
        <v>65147500</v>
      </c>
      <c r="T408" s="18" t="s">
        <v>1409</v>
      </c>
      <c r="U408" s="18" t="s">
        <v>68</v>
      </c>
      <c r="V408" s="228">
        <v>43105</v>
      </c>
      <c r="W408" s="219">
        <v>11.5</v>
      </c>
      <c r="X408" s="40" t="s">
        <v>1457</v>
      </c>
      <c r="Y408" s="50">
        <v>43102</v>
      </c>
      <c r="Z408" s="203">
        <v>65147500</v>
      </c>
      <c r="AA408" s="110"/>
      <c r="AB408" s="220">
        <v>131</v>
      </c>
      <c r="AC408" s="92" t="s">
        <v>1411</v>
      </c>
      <c r="AD408" s="221">
        <v>65147500</v>
      </c>
      <c r="AE408" s="222">
        <f t="shared" si="56"/>
        <v>0</v>
      </c>
      <c r="AF408" s="223">
        <v>175</v>
      </c>
      <c r="AG408" s="224" t="s">
        <v>1418</v>
      </c>
      <c r="AH408" s="225">
        <v>65147500</v>
      </c>
      <c r="AI408" s="224" t="s">
        <v>1458</v>
      </c>
      <c r="AJ408" s="226">
        <v>107</v>
      </c>
      <c r="AK408" s="226"/>
      <c r="AL408" s="225">
        <v>0</v>
      </c>
      <c r="AM408" s="225">
        <v>65147500</v>
      </c>
      <c r="AN408" s="34"/>
      <c r="AO408" s="34"/>
      <c r="AP408" s="34"/>
      <c r="AQ408" s="34"/>
      <c r="AR408" s="34"/>
      <c r="AS408" s="34"/>
      <c r="AT408" s="34"/>
    </row>
    <row r="409" spans="1:46" ht="89.25" x14ac:dyDescent="0.25">
      <c r="A409" s="18">
        <f t="shared" si="57"/>
        <v>12</v>
      </c>
      <c r="B409" s="18" t="s">
        <v>1459</v>
      </c>
      <c r="C409" s="18" t="s">
        <v>1404</v>
      </c>
      <c r="D409" s="18" t="s">
        <v>63</v>
      </c>
      <c r="E409" s="18" t="s">
        <v>63</v>
      </c>
      <c r="F409" s="18" t="s">
        <v>1405</v>
      </c>
      <c r="G409" s="18" t="s">
        <v>1406</v>
      </c>
      <c r="H409" s="18" t="s">
        <v>1407</v>
      </c>
      <c r="I409" s="18" t="s">
        <v>56</v>
      </c>
      <c r="J409" s="18" t="s">
        <v>57</v>
      </c>
      <c r="K409" s="25">
        <v>80111600</v>
      </c>
      <c r="L409" s="26"/>
      <c r="M409" s="26"/>
      <c r="N409" s="26"/>
      <c r="O409" s="26"/>
      <c r="P409" s="25" t="s">
        <v>1460</v>
      </c>
      <c r="Q409" s="88">
        <v>5253000</v>
      </c>
      <c r="R409" s="35">
        <v>1</v>
      </c>
      <c r="S409" s="218">
        <v>60409500</v>
      </c>
      <c r="T409" s="18" t="s">
        <v>1409</v>
      </c>
      <c r="U409" s="18" t="s">
        <v>68</v>
      </c>
      <c r="V409" s="228">
        <v>43105</v>
      </c>
      <c r="W409" s="219">
        <v>11.5</v>
      </c>
      <c r="X409" s="40" t="s">
        <v>1461</v>
      </c>
      <c r="Y409" s="50">
        <v>43102</v>
      </c>
      <c r="Z409" s="203">
        <v>60409500</v>
      </c>
      <c r="AA409" s="110"/>
      <c r="AB409" s="220">
        <v>146</v>
      </c>
      <c r="AC409" s="92" t="s">
        <v>1411</v>
      </c>
      <c r="AD409" s="221">
        <v>60409500</v>
      </c>
      <c r="AE409" s="222">
        <f t="shared" si="56"/>
        <v>0</v>
      </c>
      <c r="AF409" s="223">
        <v>109</v>
      </c>
      <c r="AG409" s="224" t="s">
        <v>1433</v>
      </c>
      <c r="AH409" s="225">
        <v>60409500</v>
      </c>
      <c r="AI409" s="224" t="s">
        <v>1462</v>
      </c>
      <c r="AJ409" s="226">
        <v>102</v>
      </c>
      <c r="AK409" s="226"/>
      <c r="AL409" s="225">
        <v>0</v>
      </c>
      <c r="AM409" s="225">
        <v>60409500</v>
      </c>
      <c r="AN409" s="34"/>
      <c r="AO409" s="34"/>
      <c r="AP409" s="34"/>
      <c r="AQ409" s="34"/>
      <c r="AR409" s="34"/>
      <c r="AS409" s="34"/>
      <c r="AT409" s="34"/>
    </row>
    <row r="410" spans="1:46" ht="89.25" x14ac:dyDescent="0.25">
      <c r="A410" s="18">
        <f t="shared" si="57"/>
        <v>13</v>
      </c>
      <c r="B410" s="18" t="s">
        <v>1463</v>
      </c>
      <c r="C410" s="18" t="s">
        <v>1404</v>
      </c>
      <c r="D410" s="18" t="s">
        <v>63</v>
      </c>
      <c r="E410" s="18" t="s">
        <v>63</v>
      </c>
      <c r="F410" s="18" t="s">
        <v>1405</v>
      </c>
      <c r="G410" s="18" t="s">
        <v>1406</v>
      </c>
      <c r="H410" s="18" t="s">
        <v>1407</v>
      </c>
      <c r="I410" s="18" t="s">
        <v>56</v>
      </c>
      <c r="J410" s="18" t="s">
        <v>57</v>
      </c>
      <c r="K410" s="25">
        <v>80111600</v>
      </c>
      <c r="L410" s="26"/>
      <c r="M410" s="26"/>
      <c r="N410" s="26"/>
      <c r="O410" s="26"/>
      <c r="P410" s="25" t="s">
        <v>1464</v>
      </c>
      <c r="Q410" s="88">
        <v>12000000</v>
      </c>
      <c r="R410" s="35">
        <v>1</v>
      </c>
      <c r="S410" s="218">
        <v>132000000</v>
      </c>
      <c r="T410" s="18" t="s">
        <v>1409</v>
      </c>
      <c r="U410" s="18" t="s">
        <v>68</v>
      </c>
      <c r="V410" s="51">
        <v>43112</v>
      </c>
      <c r="W410" s="219">
        <v>11</v>
      </c>
      <c r="X410" s="40" t="s">
        <v>1465</v>
      </c>
      <c r="Y410" s="50">
        <v>43102</v>
      </c>
      <c r="Z410" s="203">
        <v>132000000</v>
      </c>
      <c r="AA410" s="110"/>
      <c r="AB410" s="220">
        <v>138</v>
      </c>
      <c r="AC410" s="92" t="s">
        <v>1411</v>
      </c>
      <c r="AD410" s="221">
        <v>132000000</v>
      </c>
      <c r="AE410" s="222">
        <f t="shared" si="56"/>
        <v>0</v>
      </c>
      <c r="AF410" s="223">
        <v>445</v>
      </c>
      <c r="AG410" s="224" t="s">
        <v>1466</v>
      </c>
      <c r="AH410" s="225">
        <v>130900000</v>
      </c>
      <c r="AI410" s="224" t="s">
        <v>1467</v>
      </c>
      <c r="AJ410" s="226">
        <v>375</v>
      </c>
      <c r="AK410" s="226"/>
      <c r="AL410" s="225">
        <v>0</v>
      </c>
      <c r="AM410" s="225">
        <v>130900000</v>
      </c>
      <c r="AN410" s="34"/>
      <c r="AO410" s="34"/>
      <c r="AP410" s="34"/>
      <c r="AQ410" s="34"/>
      <c r="AR410" s="34"/>
      <c r="AS410" s="34"/>
      <c r="AT410" s="34"/>
    </row>
    <row r="411" spans="1:46" ht="63.75" x14ac:dyDescent="0.25">
      <c r="A411" s="18">
        <f t="shared" si="57"/>
        <v>14</v>
      </c>
      <c r="B411" s="18" t="s">
        <v>1468</v>
      </c>
      <c r="C411" s="18" t="s">
        <v>1404</v>
      </c>
      <c r="D411" s="18" t="s">
        <v>63</v>
      </c>
      <c r="E411" s="18" t="s">
        <v>63</v>
      </c>
      <c r="F411" s="18" t="s">
        <v>1405</v>
      </c>
      <c r="G411" s="18" t="s">
        <v>1406</v>
      </c>
      <c r="H411" s="18" t="s">
        <v>1407</v>
      </c>
      <c r="I411" s="18" t="s">
        <v>56</v>
      </c>
      <c r="J411" s="18" t="s">
        <v>57</v>
      </c>
      <c r="K411" s="25">
        <v>80111600</v>
      </c>
      <c r="L411" s="26"/>
      <c r="M411" s="26"/>
      <c r="N411" s="26"/>
      <c r="O411" s="26"/>
      <c r="P411" s="25" t="s">
        <v>1469</v>
      </c>
      <c r="Q411" s="88">
        <v>6000000</v>
      </c>
      <c r="R411" s="35">
        <v>1</v>
      </c>
      <c r="S411" s="218">
        <v>66000000</v>
      </c>
      <c r="T411" s="18" t="s">
        <v>1409</v>
      </c>
      <c r="U411" s="18" t="s">
        <v>68</v>
      </c>
      <c r="V411" s="51">
        <v>43112</v>
      </c>
      <c r="W411" s="219">
        <v>11</v>
      </c>
      <c r="X411" s="40" t="s">
        <v>1470</v>
      </c>
      <c r="Y411" s="50">
        <v>43102</v>
      </c>
      <c r="Z411" s="203">
        <v>66000000</v>
      </c>
      <c r="AA411" s="110"/>
      <c r="AB411" s="220">
        <v>137</v>
      </c>
      <c r="AC411" s="92" t="s">
        <v>1411</v>
      </c>
      <c r="AD411" s="221">
        <v>66000000</v>
      </c>
      <c r="AE411" s="222">
        <f t="shared" si="56"/>
        <v>0</v>
      </c>
      <c r="AF411" s="223">
        <v>439</v>
      </c>
      <c r="AG411" s="224" t="s">
        <v>1466</v>
      </c>
      <c r="AH411" s="225">
        <v>66000000</v>
      </c>
      <c r="AI411" s="224" t="s">
        <v>387</v>
      </c>
      <c r="AJ411" s="226">
        <v>379</v>
      </c>
      <c r="AK411" s="226"/>
      <c r="AL411" s="225">
        <v>0</v>
      </c>
      <c r="AM411" s="225">
        <v>66000000</v>
      </c>
      <c r="AN411" s="34"/>
      <c r="AO411" s="34"/>
      <c r="AP411" s="34"/>
      <c r="AQ411" s="34"/>
      <c r="AR411" s="34"/>
      <c r="AS411" s="34"/>
      <c r="AT411" s="34"/>
    </row>
    <row r="412" spans="1:46" ht="127.5" x14ac:dyDescent="0.25">
      <c r="A412" s="18">
        <f t="shared" si="57"/>
        <v>15</v>
      </c>
      <c r="B412" s="18" t="s">
        <v>1471</v>
      </c>
      <c r="C412" s="18" t="s">
        <v>1404</v>
      </c>
      <c r="D412" s="18" t="s">
        <v>63</v>
      </c>
      <c r="E412" s="18" t="s">
        <v>63</v>
      </c>
      <c r="F412" s="18" t="s">
        <v>1405</v>
      </c>
      <c r="G412" s="18" t="s">
        <v>1406</v>
      </c>
      <c r="H412" s="18" t="s">
        <v>1407</v>
      </c>
      <c r="I412" s="18" t="s">
        <v>56</v>
      </c>
      <c r="J412" s="18" t="s">
        <v>57</v>
      </c>
      <c r="K412" s="25">
        <v>80111600</v>
      </c>
      <c r="L412" s="26"/>
      <c r="M412" s="26"/>
      <c r="N412" s="26"/>
      <c r="O412" s="26"/>
      <c r="P412" s="25" t="s">
        <v>1472</v>
      </c>
      <c r="Q412" s="88">
        <v>6180000</v>
      </c>
      <c r="R412" s="35">
        <v>1</v>
      </c>
      <c r="S412" s="218">
        <v>71070000</v>
      </c>
      <c r="T412" s="18" t="s">
        <v>1409</v>
      </c>
      <c r="U412" s="18" t="s">
        <v>68</v>
      </c>
      <c r="V412" s="51">
        <v>43112</v>
      </c>
      <c r="W412" s="219">
        <v>11.5</v>
      </c>
      <c r="X412" s="40" t="s">
        <v>1473</v>
      </c>
      <c r="Y412" s="50">
        <v>43102</v>
      </c>
      <c r="Z412" s="203">
        <v>71070000</v>
      </c>
      <c r="AA412" s="110"/>
      <c r="AB412" s="220">
        <v>136</v>
      </c>
      <c r="AC412" s="92" t="s">
        <v>1411</v>
      </c>
      <c r="AD412" s="221">
        <v>71070000</v>
      </c>
      <c r="AE412" s="222">
        <f t="shared" si="56"/>
        <v>0</v>
      </c>
      <c r="AF412" s="223">
        <v>48</v>
      </c>
      <c r="AG412" s="224" t="s">
        <v>1423</v>
      </c>
      <c r="AH412" s="225">
        <v>71070000</v>
      </c>
      <c r="AI412" s="224" t="s">
        <v>1474</v>
      </c>
      <c r="AJ412" s="226">
        <v>52</v>
      </c>
      <c r="AK412" s="226"/>
      <c r="AL412" s="225">
        <v>0</v>
      </c>
      <c r="AM412" s="225">
        <v>71070000</v>
      </c>
      <c r="AN412" s="34"/>
      <c r="AO412" s="34"/>
      <c r="AP412" s="34"/>
      <c r="AQ412" s="34"/>
      <c r="AR412" s="34"/>
      <c r="AS412" s="34"/>
      <c r="AT412" s="34"/>
    </row>
    <row r="413" spans="1:46" ht="102" x14ac:dyDescent="0.25">
      <c r="A413" s="18">
        <f t="shared" si="57"/>
        <v>16</v>
      </c>
      <c r="B413" s="18" t="s">
        <v>1475</v>
      </c>
      <c r="C413" s="18" t="s">
        <v>1404</v>
      </c>
      <c r="D413" s="18" t="s">
        <v>63</v>
      </c>
      <c r="E413" s="18" t="s">
        <v>63</v>
      </c>
      <c r="F413" s="18" t="s">
        <v>1405</v>
      </c>
      <c r="G413" s="18" t="s">
        <v>1406</v>
      </c>
      <c r="H413" s="18" t="s">
        <v>1407</v>
      </c>
      <c r="I413" s="18" t="s">
        <v>56</v>
      </c>
      <c r="J413" s="18" t="s">
        <v>57</v>
      </c>
      <c r="K413" s="25">
        <v>80111600</v>
      </c>
      <c r="L413" s="26"/>
      <c r="M413" s="26"/>
      <c r="N413" s="26"/>
      <c r="O413" s="26"/>
      <c r="P413" s="25" t="str">
        <f>[2]Hoja1!$D$27</f>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
      <c r="Q413" s="110">
        <f>78983685-10558685</f>
        <v>68425000</v>
      </c>
      <c r="R413" s="18">
        <v>1</v>
      </c>
      <c r="S413" s="110">
        <v>68425000</v>
      </c>
      <c r="T413" s="18" t="s">
        <v>1409</v>
      </c>
      <c r="U413" s="18" t="s">
        <v>68</v>
      </c>
      <c r="V413" s="51">
        <v>43112</v>
      </c>
      <c r="W413" s="219">
        <v>11.500000078987831</v>
      </c>
      <c r="X413" s="108" t="s">
        <v>1785</v>
      </c>
      <c r="Y413" s="50">
        <v>43117</v>
      </c>
      <c r="Z413" s="203">
        <v>68425000</v>
      </c>
      <c r="AA413" s="110"/>
      <c r="AB413" s="220">
        <v>524</v>
      </c>
      <c r="AC413" s="92" t="s">
        <v>1418</v>
      </c>
      <c r="AD413" s="221">
        <v>68425000</v>
      </c>
      <c r="AE413" s="222">
        <f t="shared" si="56"/>
        <v>0</v>
      </c>
      <c r="AF413" s="223">
        <v>308</v>
      </c>
      <c r="AG413" s="224" t="s">
        <v>1476</v>
      </c>
      <c r="AH413" s="225">
        <v>68425000</v>
      </c>
      <c r="AI413" s="224" t="s">
        <v>1477</v>
      </c>
      <c r="AJ413" s="226">
        <v>280</v>
      </c>
      <c r="AK413" s="226"/>
      <c r="AL413" s="225">
        <v>0</v>
      </c>
      <c r="AM413" s="225">
        <v>68425000</v>
      </c>
      <c r="AN413" s="34"/>
      <c r="AO413" s="34"/>
      <c r="AP413" s="34"/>
      <c r="AQ413" s="34"/>
      <c r="AR413" s="34"/>
      <c r="AS413" s="34"/>
      <c r="AT413" s="34"/>
    </row>
    <row r="414" spans="1:46" ht="76.5" x14ac:dyDescent="0.25">
      <c r="A414" s="18">
        <f t="shared" si="57"/>
        <v>17</v>
      </c>
      <c r="B414" s="18" t="s">
        <v>1478</v>
      </c>
      <c r="C414" s="18" t="s">
        <v>1404</v>
      </c>
      <c r="D414" s="18" t="s">
        <v>63</v>
      </c>
      <c r="E414" s="18" t="s">
        <v>63</v>
      </c>
      <c r="F414" s="18" t="s">
        <v>1405</v>
      </c>
      <c r="G414" s="18" t="s">
        <v>1406</v>
      </c>
      <c r="H414" s="18" t="s">
        <v>1407</v>
      </c>
      <c r="I414" s="18" t="s">
        <v>56</v>
      </c>
      <c r="J414" s="18" t="s">
        <v>57</v>
      </c>
      <c r="K414" s="25">
        <v>80111600</v>
      </c>
      <c r="L414" s="26"/>
      <c r="M414" s="26"/>
      <c r="N414" s="26"/>
      <c r="O414" s="26"/>
      <c r="P414" s="25" t="s">
        <v>1479</v>
      </c>
      <c r="Q414" s="88">
        <v>4120000</v>
      </c>
      <c r="R414" s="35">
        <v>1</v>
      </c>
      <c r="S414" s="218">
        <v>47380000</v>
      </c>
      <c r="T414" s="18" t="s">
        <v>1409</v>
      </c>
      <c r="U414" s="18" t="s">
        <v>68</v>
      </c>
      <c r="V414" s="51">
        <v>43112</v>
      </c>
      <c r="W414" s="219">
        <v>11.5</v>
      </c>
      <c r="X414" s="40" t="s">
        <v>1480</v>
      </c>
      <c r="Y414" s="50">
        <v>43102</v>
      </c>
      <c r="Z414" s="203">
        <v>47380000</v>
      </c>
      <c r="AA414" s="110"/>
      <c r="AB414" s="220">
        <v>125</v>
      </c>
      <c r="AC414" s="92" t="s">
        <v>1481</v>
      </c>
      <c r="AD414" s="221">
        <v>47380000</v>
      </c>
      <c r="AE414" s="222">
        <f t="shared" si="56"/>
        <v>0</v>
      </c>
      <c r="AF414" s="223">
        <v>37</v>
      </c>
      <c r="AG414" s="224" t="s">
        <v>1423</v>
      </c>
      <c r="AH414" s="225">
        <v>47380000</v>
      </c>
      <c r="AI414" s="224" t="s">
        <v>1482</v>
      </c>
      <c r="AJ414" s="226">
        <v>47</v>
      </c>
      <c r="AK414" s="226"/>
      <c r="AL414" s="225">
        <v>0</v>
      </c>
      <c r="AM414" s="225">
        <v>47380000</v>
      </c>
      <c r="AN414" s="34"/>
      <c r="AO414" s="34"/>
      <c r="AP414" s="34"/>
      <c r="AQ414" s="34"/>
      <c r="AR414" s="34"/>
      <c r="AS414" s="34"/>
      <c r="AT414" s="34"/>
    </row>
    <row r="415" spans="1:46" ht="63.75" x14ac:dyDescent="0.25">
      <c r="A415" s="18">
        <f t="shared" si="57"/>
        <v>18</v>
      </c>
      <c r="B415" s="18" t="s">
        <v>1483</v>
      </c>
      <c r="C415" s="18" t="s">
        <v>1404</v>
      </c>
      <c r="D415" s="18" t="s">
        <v>63</v>
      </c>
      <c r="E415" s="18" t="s">
        <v>63</v>
      </c>
      <c r="F415" s="18" t="s">
        <v>1405</v>
      </c>
      <c r="G415" s="18" t="s">
        <v>1406</v>
      </c>
      <c r="H415" s="18" t="s">
        <v>1407</v>
      </c>
      <c r="I415" s="18" t="s">
        <v>56</v>
      </c>
      <c r="J415" s="18" t="s">
        <v>57</v>
      </c>
      <c r="K415" s="25">
        <v>80111600</v>
      </c>
      <c r="L415" s="26"/>
      <c r="M415" s="26"/>
      <c r="N415" s="26"/>
      <c r="O415" s="26"/>
      <c r="P415" s="25" t="s">
        <v>1484</v>
      </c>
      <c r="Q415" s="88">
        <v>3399000</v>
      </c>
      <c r="R415" s="35">
        <v>1</v>
      </c>
      <c r="S415" s="218">
        <v>39088500</v>
      </c>
      <c r="T415" s="18" t="s">
        <v>1409</v>
      </c>
      <c r="U415" s="18" t="s">
        <v>68</v>
      </c>
      <c r="V415" s="51">
        <v>43112</v>
      </c>
      <c r="W415" s="219">
        <v>11.5</v>
      </c>
      <c r="X415" s="40" t="s">
        <v>1485</v>
      </c>
      <c r="Y415" s="50">
        <v>43102</v>
      </c>
      <c r="Z415" s="203">
        <v>39088500</v>
      </c>
      <c r="AA415" s="110"/>
      <c r="AB415" s="220">
        <v>124</v>
      </c>
      <c r="AC415" s="92" t="s">
        <v>1481</v>
      </c>
      <c r="AD415" s="221">
        <v>39088500</v>
      </c>
      <c r="AE415" s="222">
        <f t="shared" si="56"/>
        <v>0</v>
      </c>
      <c r="AF415" s="223">
        <v>302</v>
      </c>
      <c r="AG415" s="224" t="s">
        <v>1476</v>
      </c>
      <c r="AH415" s="225">
        <v>39088500</v>
      </c>
      <c r="AI415" s="224" t="s">
        <v>1486</v>
      </c>
      <c r="AJ415" s="226">
        <v>268</v>
      </c>
      <c r="AK415" s="226"/>
      <c r="AL415" s="225">
        <v>0</v>
      </c>
      <c r="AM415" s="225">
        <v>39088500</v>
      </c>
      <c r="AN415" s="34"/>
      <c r="AO415" s="34"/>
      <c r="AP415" s="34"/>
      <c r="AQ415" s="34"/>
      <c r="AR415" s="34"/>
      <c r="AS415" s="34"/>
      <c r="AT415" s="34"/>
    </row>
    <row r="416" spans="1:46" ht="76.5" x14ac:dyDescent="0.25">
      <c r="A416" s="18">
        <f t="shared" si="57"/>
        <v>19</v>
      </c>
      <c r="B416" s="18" t="s">
        <v>1416</v>
      </c>
      <c r="C416" s="18" t="s">
        <v>1404</v>
      </c>
      <c r="D416" s="18" t="s">
        <v>63</v>
      </c>
      <c r="E416" s="18" t="s">
        <v>63</v>
      </c>
      <c r="F416" s="18" t="s">
        <v>1405</v>
      </c>
      <c r="G416" s="18" t="s">
        <v>1406</v>
      </c>
      <c r="H416" s="18" t="s">
        <v>1407</v>
      </c>
      <c r="I416" s="18" t="s">
        <v>56</v>
      </c>
      <c r="J416" s="18" t="s">
        <v>57</v>
      </c>
      <c r="K416" s="25">
        <v>80111600</v>
      </c>
      <c r="L416" s="26"/>
      <c r="M416" s="26"/>
      <c r="N416" s="26"/>
      <c r="O416" s="26"/>
      <c r="P416" s="25" t="str">
        <f>[2]Hoja1!$D$19</f>
        <v>Prestación de servicios profesionales para realizar el acompañamiento jurídico en asuntos relacionados con el manejo y administración de bienes inmuebles que requiera la Caja de la Vivienda Popular.</v>
      </c>
      <c r="Q416" s="37">
        <f>18339152.1383333+25790113-14657500-1776750-1776750+10558685+15002450</f>
        <v>51479400.138333298</v>
      </c>
      <c r="R416" s="18">
        <v>1</v>
      </c>
      <c r="S416" s="37">
        <v>51479400.138333298</v>
      </c>
      <c r="T416" s="18" t="s">
        <v>1409</v>
      </c>
      <c r="U416" s="18" t="s">
        <v>68</v>
      </c>
      <c r="V416" s="51">
        <v>43112</v>
      </c>
      <c r="W416" s="219">
        <v>6</v>
      </c>
      <c r="X416" s="108" t="s">
        <v>1786</v>
      </c>
      <c r="Y416" s="50">
        <v>43117</v>
      </c>
      <c r="Z416" s="203">
        <v>51479400</v>
      </c>
      <c r="AA416" s="110"/>
      <c r="AB416" s="92">
        <v>523</v>
      </c>
      <c r="AC416" s="92" t="s">
        <v>1418</v>
      </c>
      <c r="AD416" s="227">
        <v>51479400</v>
      </c>
      <c r="AE416" s="222">
        <f t="shared" si="56"/>
        <v>0.13833329826593399</v>
      </c>
      <c r="AF416" s="223">
        <v>462</v>
      </c>
      <c r="AG416" s="224" t="s">
        <v>1442</v>
      </c>
      <c r="AH416" s="225">
        <v>51479400</v>
      </c>
      <c r="AI416" s="224" t="s">
        <v>1487</v>
      </c>
      <c r="AJ416" s="226">
        <v>389</v>
      </c>
      <c r="AK416" s="226"/>
      <c r="AL416" s="225">
        <v>0</v>
      </c>
      <c r="AM416" s="225">
        <v>51479400</v>
      </c>
      <c r="AN416" s="34"/>
      <c r="AO416" s="34"/>
      <c r="AP416" s="34"/>
      <c r="AQ416" s="34"/>
      <c r="AR416" s="34"/>
      <c r="AS416" s="34"/>
      <c r="AT416" s="34"/>
    </row>
    <row r="417" spans="1:46" ht="63.75" x14ac:dyDescent="0.25">
      <c r="A417" s="18">
        <f>+A416+1</f>
        <v>20</v>
      </c>
      <c r="B417" s="18" t="s">
        <v>1488</v>
      </c>
      <c r="C417" s="18" t="s">
        <v>1404</v>
      </c>
      <c r="D417" s="18" t="s">
        <v>63</v>
      </c>
      <c r="E417" s="18" t="s">
        <v>63</v>
      </c>
      <c r="F417" s="18" t="s">
        <v>1405</v>
      </c>
      <c r="G417" s="18" t="s">
        <v>1406</v>
      </c>
      <c r="H417" s="18" t="s">
        <v>1407</v>
      </c>
      <c r="I417" s="18" t="s">
        <v>56</v>
      </c>
      <c r="J417" s="18" t="s">
        <v>57</v>
      </c>
      <c r="K417" s="25">
        <v>80111600</v>
      </c>
      <c r="L417" s="26"/>
      <c r="M417" s="26"/>
      <c r="N417" s="26"/>
      <c r="O417" s="26"/>
      <c r="P417" s="25" t="s">
        <v>1489</v>
      </c>
      <c r="Q417" s="88">
        <v>5665000</v>
      </c>
      <c r="R417" s="35">
        <v>1</v>
      </c>
      <c r="S417" s="218">
        <v>65147500</v>
      </c>
      <c r="T417" s="18" t="s">
        <v>1409</v>
      </c>
      <c r="U417" s="18" t="s">
        <v>68</v>
      </c>
      <c r="V417" s="51">
        <v>43112</v>
      </c>
      <c r="W417" s="219">
        <v>11.5</v>
      </c>
      <c r="X417" s="40" t="s">
        <v>1490</v>
      </c>
      <c r="Y417" s="50">
        <v>43102</v>
      </c>
      <c r="Z417" s="203">
        <v>65147500</v>
      </c>
      <c r="AA417" s="110"/>
      <c r="AB417" s="220">
        <v>123</v>
      </c>
      <c r="AC417" s="92" t="s">
        <v>1481</v>
      </c>
      <c r="AD417" s="221">
        <v>65147500</v>
      </c>
      <c r="AE417" s="222">
        <f t="shared" si="56"/>
        <v>0</v>
      </c>
      <c r="AF417" s="223">
        <v>76</v>
      </c>
      <c r="AG417" s="224" t="s">
        <v>1423</v>
      </c>
      <c r="AH417" s="225">
        <v>65147500</v>
      </c>
      <c r="AI417" s="224" t="s">
        <v>1491</v>
      </c>
      <c r="AJ417" s="226">
        <v>64</v>
      </c>
      <c r="AK417" s="226"/>
      <c r="AL417" s="225">
        <v>0</v>
      </c>
      <c r="AM417" s="225">
        <v>65147500</v>
      </c>
      <c r="AN417" s="34"/>
      <c r="AO417" s="34"/>
      <c r="AP417" s="34"/>
      <c r="AQ417" s="34"/>
      <c r="AR417" s="34"/>
      <c r="AS417" s="34"/>
      <c r="AT417" s="34"/>
    </row>
    <row r="418" spans="1:46" ht="76.5" x14ac:dyDescent="0.25">
      <c r="A418" s="18">
        <f t="shared" si="57"/>
        <v>21</v>
      </c>
      <c r="B418" s="18" t="s">
        <v>1492</v>
      </c>
      <c r="C418" s="18" t="s">
        <v>1404</v>
      </c>
      <c r="D418" s="18" t="s">
        <v>63</v>
      </c>
      <c r="E418" s="18" t="s">
        <v>63</v>
      </c>
      <c r="F418" s="18" t="s">
        <v>1405</v>
      </c>
      <c r="G418" s="18" t="s">
        <v>1406</v>
      </c>
      <c r="H418" s="18" t="s">
        <v>1407</v>
      </c>
      <c r="I418" s="18" t="s">
        <v>56</v>
      </c>
      <c r="J418" s="18" t="s">
        <v>57</v>
      </c>
      <c r="K418" s="25">
        <v>80111600</v>
      </c>
      <c r="L418" s="26"/>
      <c r="M418" s="26"/>
      <c r="N418" s="26"/>
      <c r="O418" s="26"/>
      <c r="P418" s="25" t="s">
        <v>1493</v>
      </c>
      <c r="Q418" s="88">
        <v>5253000</v>
      </c>
      <c r="R418" s="35">
        <v>1</v>
      </c>
      <c r="S418" s="218">
        <v>60409500</v>
      </c>
      <c r="T418" s="18" t="s">
        <v>1409</v>
      </c>
      <c r="U418" s="18" t="s">
        <v>68</v>
      </c>
      <c r="V418" s="51">
        <v>43112</v>
      </c>
      <c r="W418" s="219">
        <v>11.5</v>
      </c>
      <c r="X418" s="40" t="s">
        <v>1494</v>
      </c>
      <c r="Y418" s="50">
        <v>43102</v>
      </c>
      <c r="Z418" s="203">
        <v>60409500</v>
      </c>
      <c r="AA418" s="110"/>
      <c r="AB418" s="220">
        <v>122</v>
      </c>
      <c r="AC418" s="92" t="s">
        <v>1481</v>
      </c>
      <c r="AD418" s="221">
        <v>60409500</v>
      </c>
      <c r="AE418" s="222">
        <f t="shared" si="56"/>
        <v>0</v>
      </c>
      <c r="AF418" s="223">
        <v>150</v>
      </c>
      <c r="AG418" s="224" t="s">
        <v>1433</v>
      </c>
      <c r="AH418" s="225">
        <v>60409500</v>
      </c>
      <c r="AI418" s="224" t="s">
        <v>1495</v>
      </c>
      <c r="AJ418" s="226">
        <v>157</v>
      </c>
      <c r="AK418" s="226"/>
      <c r="AL418" s="225">
        <v>0</v>
      </c>
      <c r="AM418" s="225">
        <v>60409500</v>
      </c>
      <c r="AN418" s="34"/>
      <c r="AO418" s="34"/>
      <c r="AP418" s="34"/>
      <c r="AQ418" s="34"/>
      <c r="AR418" s="34"/>
      <c r="AS418" s="34"/>
      <c r="AT418" s="34"/>
    </row>
    <row r="419" spans="1:46" ht="89.25" x14ac:dyDescent="0.25">
      <c r="A419" s="18">
        <f t="shared" si="57"/>
        <v>22</v>
      </c>
      <c r="B419" s="18" t="s">
        <v>1496</v>
      </c>
      <c r="C419" s="18" t="s">
        <v>1404</v>
      </c>
      <c r="D419" s="18" t="s">
        <v>63</v>
      </c>
      <c r="E419" s="18" t="s">
        <v>63</v>
      </c>
      <c r="F419" s="18" t="s">
        <v>1405</v>
      </c>
      <c r="G419" s="18" t="s">
        <v>1406</v>
      </c>
      <c r="H419" s="18" t="s">
        <v>1407</v>
      </c>
      <c r="I419" s="18" t="s">
        <v>56</v>
      </c>
      <c r="J419" s="18" t="s">
        <v>57</v>
      </c>
      <c r="K419" s="25">
        <v>80111600</v>
      </c>
      <c r="L419" s="26"/>
      <c r="M419" s="26"/>
      <c r="N419" s="26"/>
      <c r="O419" s="26"/>
      <c r="P419" s="25" t="s">
        <v>1497</v>
      </c>
      <c r="Q419" s="88">
        <v>4532000</v>
      </c>
      <c r="R419" s="35">
        <v>1</v>
      </c>
      <c r="S419" s="218">
        <v>52118000</v>
      </c>
      <c r="T419" s="18" t="s">
        <v>1409</v>
      </c>
      <c r="U419" s="18" t="s">
        <v>68</v>
      </c>
      <c r="V419" s="51">
        <v>43112</v>
      </c>
      <c r="W419" s="219">
        <v>11.5</v>
      </c>
      <c r="X419" s="40" t="s">
        <v>1498</v>
      </c>
      <c r="Y419" s="50">
        <v>43102</v>
      </c>
      <c r="Z419" s="203">
        <v>52118000</v>
      </c>
      <c r="AA419" s="110"/>
      <c r="AB419" s="220">
        <v>121</v>
      </c>
      <c r="AC419" s="92" t="s">
        <v>1481</v>
      </c>
      <c r="AD419" s="221">
        <v>52118000</v>
      </c>
      <c r="AE419" s="222">
        <f t="shared" si="56"/>
        <v>0</v>
      </c>
      <c r="AF419" s="223">
        <v>69</v>
      </c>
      <c r="AG419" s="224" t="s">
        <v>1423</v>
      </c>
      <c r="AH419" s="225">
        <v>52118000</v>
      </c>
      <c r="AI419" s="224" t="s">
        <v>1499</v>
      </c>
      <c r="AJ419" s="226">
        <v>63</v>
      </c>
      <c r="AK419" s="226"/>
      <c r="AL419" s="225">
        <v>0</v>
      </c>
      <c r="AM419" s="225">
        <v>52118000</v>
      </c>
      <c r="AN419" s="34"/>
      <c r="AO419" s="34"/>
      <c r="AP419" s="34"/>
      <c r="AQ419" s="34"/>
      <c r="AR419" s="34"/>
      <c r="AS419" s="34"/>
      <c r="AT419" s="34"/>
    </row>
    <row r="420" spans="1:46" ht="63.75" x14ac:dyDescent="0.25">
      <c r="A420" s="18">
        <f t="shared" si="57"/>
        <v>23</v>
      </c>
      <c r="B420" s="18" t="s">
        <v>1500</v>
      </c>
      <c r="C420" s="18" t="s">
        <v>1404</v>
      </c>
      <c r="D420" s="18" t="s">
        <v>63</v>
      </c>
      <c r="E420" s="18" t="s">
        <v>63</v>
      </c>
      <c r="F420" s="18" t="s">
        <v>1405</v>
      </c>
      <c r="G420" s="18" t="s">
        <v>1406</v>
      </c>
      <c r="H420" s="18" t="s">
        <v>1407</v>
      </c>
      <c r="I420" s="18" t="s">
        <v>56</v>
      </c>
      <c r="J420" s="18" t="s">
        <v>57</v>
      </c>
      <c r="K420" s="25">
        <v>80111600</v>
      </c>
      <c r="L420" s="26"/>
      <c r="M420" s="26"/>
      <c r="N420" s="26"/>
      <c r="O420" s="26"/>
      <c r="P420" s="25" t="s">
        <v>1501</v>
      </c>
      <c r="Q420" s="88">
        <v>3399000</v>
      </c>
      <c r="R420" s="35">
        <v>1</v>
      </c>
      <c r="S420" s="218">
        <v>3692050</v>
      </c>
      <c r="T420" s="18" t="s">
        <v>1409</v>
      </c>
      <c r="U420" s="18" t="s">
        <v>68</v>
      </c>
      <c r="V420" s="51">
        <v>43112</v>
      </c>
      <c r="W420" s="219">
        <f>+S420/Q420</f>
        <v>1.0862165342747867</v>
      </c>
      <c r="X420" s="108" t="s">
        <v>1502</v>
      </c>
      <c r="Y420" s="50">
        <v>43102</v>
      </c>
      <c r="Z420" s="203"/>
      <c r="AA420" s="110"/>
      <c r="AB420" s="92"/>
      <c r="AC420" s="92"/>
      <c r="AD420" s="229"/>
      <c r="AE420" s="222">
        <f t="shared" si="56"/>
        <v>3692050</v>
      </c>
      <c r="AF420" s="223"/>
      <c r="AG420" s="224"/>
      <c r="AH420" s="225"/>
      <c r="AI420" s="224"/>
      <c r="AJ420" s="226"/>
      <c r="AK420" s="226"/>
      <c r="AL420" s="225"/>
      <c r="AM420" s="225"/>
      <c r="AN420" s="34"/>
      <c r="AO420" s="34"/>
      <c r="AP420" s="34"/>
      <c r="AQ420" s="34"/>
      <c r="AR420" s="34"/>
      <c r="AS420" s="34"/>
      <c r="AT420" s="34"/>
    </row>
    <row r="421" spans="1:46" ht="63.75" x14ac:dyDescent="0.25">
      <c r="A421" s="18">
        <f t="shared" si="57"/>
        <v>24</v>
      </c>
      <c r="B421" s="18" t="s">
        <v>1503</v>
      </c>
      <c r="C421" s="18" t="s">
        <v>1404</v>
      </c>
      <c r="D421" s="18" t="s">
        <v>63</v>
      </c>
      <c r="E421" s="18" t="s">
        <v>63</v>
      </c>
      <c r="F421" s="18" t="s">
        <v>1405</v>
      </c>
      <c r="G421" s="18" t="s">
        <v>1406</v>
      </c>
      <c r="H421" s="18" t="s">
        <v>1407</v>
      </c>
      <c r="I421" s="18" t="s">
        <v>56</v>
      </c>
      <c r="J421" s="18" t="s">
        <v>57</v>
      </c>
      <c r="K421" s="25">
        <v>80111600</v>
      </c>
      <c r="L421" s="26"/>
      <c r="M421" s="26"/>
      <c r="N421" s="26"/>
      <c r="O421" s="26"/>
      <c r="P421" s="25" t="s">
        <v>1504</v>
      </c>
      <c r="Q421" s="88">
        <v>5253000</v>
      </c>
      <c r="R421" s="35">
        <v>1</v>
      </c>
      <c r="S421" s="218">
        <v>60409500</v>
      </c>
      <c r="T421" s="18" t="s">
        <v>1409</v>
      </c>
      <c r="U421" s="18" t="s">
        <v>68</v>
      </c>
      <c r="V421" s="51">
        <v>43112</v>
      </c>
      <c r="W421" s="219">
        <v>11.5</v>
      </c>
      <c r="X421" s="40" t="s">
        <v>1505</v>
      </c>
      <c r="Y421" s="50">
        <v>43102</v>
      </c>
      <c r="Z421" s="203">
        <v>60409500</v>
      </c>
      <c r="AA421" s="110"/>
      <c r="AB421" s="220">
        <v>120</v>
      </c>
      <c r="AC421" s="92" t="s">
        <v>1481</v>
      </c>
      <c r="AD421" s="221">
        <v>60409500</v>
      </c>
      <c r="AE421" s="222">
        <f t="shared" si="56"/>
        <v>0</v>
      </c>
      <c r="AF421" s="223">
        <v>225</v>
      </c>
      <c r="AG421" s="224" t="s">
        <v>1418</v>
      </c>
      <c r="AH421" s="225">
        <v>60409500</v>
      </c>
      <c r="AI421" s="224" t="s">
        <v>1506</v>
      </c>
      <c r="AJ421" s="226">
        <v>197</v>
      </c>
      <c r="AK421" s="226"/>
      <c r="AL421" s="225">
        <v>0</v>
      </c>
      <c r="AM421" s="225">
        <v>60409500</v>
      </c>
      <c r="AN421" s="34"/>
      <c r="AO421" s="34"/>
      <c r="AP421" s="34"/>
      <c r="AQ421" s="34"/>
      <c r="AR421" s="34"/>
      <c r="AS421" s="34"/>
      <c r="AT421" s="34"/>
    </row>
    <row r="422" spans="1:46" ht="89.25" x14ac:dyDescent="0.25">
      <c r="A422" s="18">
        <f t="shared" si="57"/>
        <v>25</v>
      </c>
      <c r="B422" s="18" t="s">
        <v>1507</v>
      </c>
      <c r="C422" s="18" t="s">
        <v>1404</v>
      </c>
      <c r="D422" s="18" t="s">
        <v>63</v>
      </c>
      <c r="E422" s="18" t="s">
        <v>63</v>
      </c>
      <c r="F422" s="18" t="s">
        <v>1405</v>
      </c>
      <c r="G422" s="18" t="s">
        <v>1508</v>
      </c>
      <c r="H422" s="18" t="s">
        <v>1508</v>
      </c>
      <c r="I422" s="18" t="s">
        <v>56</v>
      </c>
      <c r="J422" s="18" t="s">
        <v>57</v>
      </c>
      <c r="K422" s="25">
        <v>80111600</v>
      </c>
      <c r="L422" s="26"/>
      <c r="M422" s="26"/>
      <c r="N422" s="26"/>
      <c r="O422" s="26"/>
      <c r="P422" s="25" t="s">
        <v>1509</v>
      </c>
      <c r="Q422" s="89">
        <v>3326900</v>
      </c>
      <c r="R422" s="35">
        <v>1</v>
      </c>
      <c r="S422" s="218">
        <v>38259350</v>
      </c>
      <c r="T422" s="18"/>
      <c r="U422" s="18" t="s">
        <v>68</v>
      </c>
      <c r="V422" s="51">
        <v>43112</v>
      </c>
      <c r="W422" s="219">
        <v>11.5</v>
      </c>
      <c r="X422" s="40" t="s">
        <v>1510</v>
      </c>
      <c r="Y422" s="50">
        <v>43102</v>
      </c>
      <c r="Z422" s="203">
        <v>38259350</v>
      </c>
      <c r="AA422" s="110"/>
      <c r="AB422" s="220">
        <v>119</v>
      </c>
      <c r="AC422" s="92" t="s">
        <v>1481</v>
      </c>
      <c r="AD422" s="221">
        <v>38259350</v>
      </c>
      <c r="AE422" s="222">
        <f t="shared" si="56"/>
        <v>0</v>
      </c>
      <c r="AF422" s="223">
        <v>103</v>
      </c>
      <c r="AG422" s="224" t="s">
        <v>1423</v>
      </c>
      <c r="AH422" s="225">
        <v>38259350</v>
      </c>
      <c r="AI422" s="224" t="s">
        <v>1511</v>
      </c>
      <c r="AJ422" s="226">
        <v>91</v>
      </c>
      <c r="AK422" s="226"/>
      <c r="AL422" s="225">
        <v>0</v>
      </c>
      <c r="AM422" s="225">
        <v>38259350</v>
      </c>
      <c r="AN422" s="34"/>
      <c r="AO422" s="34"/>
      <c r="AP422" s="34"/>
      <c r="AQ422" s="34"/>
      <c r="AR422" s="34"/>
      <c r="AS422" s="34"/>
      <c r="AT422" s="34"/>
    </row>
    <row r="423" spans="1:46" ht="63.75" x14ac:dyDescent="0.25">
      <c r="A423" s="18">
        <f t="shared" si="57"/>
        <v>26</v>
      </c>
      <c r="B423" s="18" t="s">
        <v>1512</v>
      </c>
      <c r="C423" s="18" t="s">
        <v>1404</v>
      </c>
      <c r="D423" s="18" t="s">
        <v>63</v>
      </c>
      <c r="E423" s="18" t="s">
        <v>63</v>
      </c>
      <c r="F423" s="18" t="s">
        <v>1405</v>
      </c>
      <c r="G423" s="18" t="s">
        <v>1508</v>
      </c>
      <c r="H423" s="18" t="s">
        <v>1508</v>
      </c>
      <c r="I423" s="18" t="s">
        <v>56</v>
      </c>
      <c r="J423" s="18" t="s">
        <v>57</v>
      </c>
      <c r="K423" s="25">
        <v>80111600</v>
      </c>
      <c r="L423" s="26"/>
      <c r="M423" s="26"/>
      <c r="N423" s="26"/>
      <c r="O423" s="26"/>
      <c r="P423" s="25" t="s">
        <v>1513</v>
      </c>
      <c r="Q423" s="89">
        <v>2472000</v>
      </c>
      <c r="R423" s="35">
        <v>1</v>
      </c>
      <c r="S423" s="218">
        <v>28428000</v>
      </c>
      <c r="T423" s="18"/>
      <c r="U423" s="18" t="s">
        <v>68</v>
      </c>
      <c r="V423" s="228">
        <v>43105</v>
      </c>
      <c r="W423" s="219">
        <v>11.5</v>
      </c>
      <c r="X423" s="40" t="s">
        <v>1514</v>
      </c>
      <c r="Y423" s="50">
        <v>43102</v>
      </c>
      <c r="Z423" s="203">
        <v>28428000</v>
      </c>
      <c r="AA423" s="110"/>
      <c r="AB423" s="220">
        <v>150</v>
      </c>
      <c r="AC423" s="92" t="s">
        <v>1411</v>
      </c>
      <c r="AD423" s="221">
        <v>28428000</v>
      </c>
      <c r="AE423" s="222">
        <f t="shared" si="56"/>
        <v>0</v>
      </c>
      <c r="AF423" s="223">
        <v>433</v>
      </c>
      <c r="AG423" s="224" t="s">
        <v>1428</v>
      </c>
      <c r="AH423" s="225">
        <v>28428000</v>
      </c>
      <c r="AI423" s="224" t="s">
        <v>1515</v>
      </c>
      <c r="AJ423" s="226">
        <v>374</v>
      </c>
      <c r="AK423" s="226"/>
      <c r="AL423" s="225">
        <v>0</v>
      </c>
      <c r="AM423" s="225">
        <v>28428000</v>
      </c>
      <c r="AN423" s="34"/>
      <c r="AO423" s="34"/>
      <c r="AP423" s="34"/>
      <c r="AQ423" s="34"/>
      <c r="AR423" s="34"/>
      <c r="AS423" s="34"/>
      <c r="AT423" s="34"/>
    </row>
    <row r="424" spans="1:46" ht="63.75" x14ac:dyDescent="0.25">
      <c r="A424" s="18">
        <f t="shared" si="57"/>
        <v>27</v>
      </c>
      <c r="B424" s="18" t="s">
        <v>1516</v>
      </c>
      <c r="C424" s="18" t="s">
        <v>1404</v>
      </c>
      <c r="D424" s="18" t="s">
        <v>63</v>
      </c>
      <c r="E424" s="18" t="s">
        <v>63</v>
      </c>
      <c r="F424" s="18" t="s">
        <v>1405</v>
      </c>
      <c r="G424" s="18" t="s">
        <v>1508</v>
      </c>
      <c r="H424" s="18" t="s">
        <v>1508</v>
      </c>
      <c r="I424" s="18" t="s">
        <v>56</v>
      </c>
      <c r="J424" s="18" t="s">
        <v>57</v>
      </c>
      <c r="K424" s="25">
        <v>80111600</v>
      </c>
      <c r="L424" s="26"/>
      <c r="M424" s="26"/>
      <c r="N424" s="26"/>
      <c r="O424" s="26"/>
      <c r="P424" s="25" t="s">
        <v>1517</v>
      </c>
      <c r="Q424" s="89">
        <v>1545000</v>
      </c>
      <c r="R424" s="35">
        <v>1</v>
      </c>
      <c r="S424" s="218">
        <v>17767500</v>
      </c>
      <c r="T424" s="18"/>
      <c r="U424" s="18" t="s">
        <v>68</v>
      </c>
      <c r="V424" s="228">
        <v>43105</v>
      </c>
      <c r="W424" s="219">
        <v>11.5</v>
      </c>
      <c r="X424" s="40" t="s">
        <v>1518</v>
      </c>
      <c r="Y424" s="50">
        <v>43102</v>
      </c>
      <c r="Z424" s="203">
        <v>17767500</v>
      </c>
      <c r="AA424" s="110"/>
      <c r="AB424" s="220">
        <v>149</v>
      </c>
      <c r="AC424" s="92" t="s">
        <v>1411</v>
      </c>
      <c r="AD424" s="221">
        <v>17767500</v>
      </c>
      <c r="AE424" s="222">
        <f t="shared" si="56"/>
        <v>0</v>
      </c>
      <c r="AF424" s="223">
        <v>432</v>
      </c>
      <c r="AG424" s="224" t="s">
        <v>1428</v>
      </c>
      <c r="AH424" s="225">
        <v>17767500</v>
      </c>
      <c r="AI424" s="224" t="s">
        <v>1519</v>
      </c>
      <c r="AJ424" s="226">
        <v>373</v>
      </c>
      <c r="AK424" s="226"/>
      <c r="AL424" s="225">
        <v>0</v>
      </c>
      <c r="AM424" s="225">
        <v>17767500</v>
      </c>
      <c r="AN424" s="34"/>
      <c r="AO424" s="34"/>
      <c r="AP424" s="34"/>
      <c r="AQ424" s="34"/>
      <c r="AR424" s="34"/>
      <c r="AS424" s="34"/>
      <c r="AT424" s="34"/>
    </row>
    <row r="425" spans="1:46" ht="63.75" x14ac:dyDescent="0.25">
      <c r="A425" s="18">
        <f t="shared" si="57"/>
        <v>28</v>
      </c>
      <c r="B425" s="18" t="s">
        <v>1520</v>
      </c>
      <c r="C425" s="18" t="s">
        <v>1404</v>
      </c>
      <c r="D425" s="18" t="s">
        <v>63</v>
      </c>
      <c r="E425" s="18" t="s">
        <v>63</v>
      </c>
      <c r="F425" s="18" t="s">
        <v>1405</v>
      </c>
      <c r="G425" s="18" t="s">
        <v>1508</v>
      </c>
      <c r="H425" s="18" t="s">
        <v>1508</v>
      </c>
      <c r="I425" s="18" t="s">
        <v>56</v>
      </c>
      <c r="J425" s="18" t="s">
        <v>57</v>
      </c>
      <c r="K425" s="25">
        <v>80111600</v>
      </c>
      <c r="L425" s="26"/>
      <c r="M425" s="26"/>
      <c r="N425" s="26"/>
      <c r="O425" s="26"/>
      <c r="P425" s="25" t="s">
        <v>1521</v>
      </c>
      <c r="Q425" s="89">
        <v>2472000</v>
      </c>
      <c r="R425" s="35">
        <v>1</v>
      </c>
      <c r="S425" s="218">
        <v>28428000</v>
      </c>
      <c r="T425" s="18"/>
      <c r="U425" s="18" t="s">
        <v>68</v>
      </c>
      <c r="V425" s="228">
        <v>43105</v>
      </c>
      <c r="W425" s="219">
        <v>11.5</v>
      </c>
      <c r="X425" s="40" t="s">
        <v>1522</v>
      </c>
      <c r="Y425" s="50">
        <v>43102</v>
      </c>
      <c r="Z425" s="203">
        <v>28428000</v>
      </c>
      <c r="AA425" s="110"/>
      <c r="AB425" s="220">
        <v>148</v>
      </c>
      <c r="AC425" s="92" t="s">
        <v>1411</v>
      </c>
      <c r="AD425" s="221">
        <v>28428000</v>
      </c>
      <c r="AE425" s="222">
        <f t="shared" si="56"/>
        <v>0</v>
      </c>
      <c r="AF425" s="223">
        <v>118</v>
      </c>
      <c r="AG425" s="224" t="s">
        <v>1433</v>
      </c>
      <c r="AH425" s="225">
        <v>28428000</v>
      </c>
      <c r="AI425" s="224" t="s">
        <v>1523</v>
      </c>
      <c r="AJ425" s="226">
        <v>97</v>
      </c>
      <c r="AK425" s="226"/>
      <c r="AL425" s="225">
        <v>0</v>
      </c>
      <c r="AM425" s="225">
        <v>28428000</v>
      </c>
      <c r="AN425" s="34"/>
      <c r="AO425" s="34"/>
      <c r="AP425" s="34"/>
      <c r="AQ425" s="34"/>
      <c r="AR425" s="34"/>
      <c r="AS425" s="34"/>
      <c r="AT425" s="34"/>
    </row>
    <row r="426" spans="1:46" ht="63.75" x14ac:dyDescent="0.25">
      <c r="A426" s="18">
        <f t="shared" si="57"/>
        <v>29</v>
      </c>
      <c r="B426" s="18" t="s">
        <v>1524</v>
      </c>
      <c r="C426" s="18" t="s">
        <v>1404</v>
      </c>
      <c r="D426" s="18" t="s">
        <v>63</v>
      </c>
      <c r="E426" s="18" t="s">
        <v>63</v>
      </c>
      <c r="F426" s="18" t="s">
        <v>1405</v>
      </c>
      <c r="G426" s="18" t="s">
        <v>1508</v>
      </c>
      <c r="H426" s="18" t="s">
        <v>1508</v>
      </c>
      <c r="I426" s="18" t="s">
        <v>56</v>
      </c>
      <c r="J426" s="18" t="s">
        <v>57</v>
      </c>
      <c r="K426" s="25">
        <v>80111600</v>
      </c>
      <c r="L426" s="26"/>
      <c r="M426" s="26"/>
      <c r="N426" s="26"/>
      <c r="O426" s="26"/>
      <c r="P426" s="25" t="s">
        <v>1525</v>
      </c>
      <c r="Q426" s="89">
        <v>1545000</v>
      </c>
      <c r="R426" s="35">
        <v>1</v>
      </c>
      <c r="S426" s="218">
        <v>17767500</v>
      </c>
      <c r="T426" s="18"/>
      <c r="U426" s="18" t="s">
        <v>68</v>
      </c>
      <c r="V426" s="228">
        <v>43105</v>
      </c>
      <c r="W426" s="219">
        <v>11.5</v>
      </c>
      <c r="X426" s="40" t="s">
        <v>1526</v>
      </c>
      <c r="Y426" s="50">
        <v>43102</v>
      </c>
      <c r="Z426" s="203">
        <v>17767500</v>
      </c>
      <c r="AA426" s="110"/>
      <c r="AB426" s="220">
        <v>147</v>
      </c>
      <c r="AC426" s="92" t="s">
        <v>1411</v>
      </c>
      <c r="AD426" s="221">
        <v>17767500</v>
      </c>
      <c r="AE426" s="222">
        <f t="shared" si="56"/>
        <v>0</v>
      </c>
      <c r="AF426" s="223">
        <v>442</v>
      </c>
      <c r="AG426" s="224" t="s">
        <v>1466</v>
      </c>
      <c r="AH426" s="225">
        <v>17767500</v>
      </c>
      <c r="AI426" s="224" t="s">
        <v>1527</v>
      </c>
      <c r="AJ426" s="226">
        <v>377</v>
      </c>
      <c r="AK426" s="226"/>
      <c r="AL426" s="225">
        <v>0</v>
      </c>
      <c r="AM426" s="225">
        <v>17767500</v>
      </c>
      <c r="AN426" s="34"/>
      <c r="AO426" s="34"/>
      <c r="AP426" s="34"/>
      <c r="AQ426" s="34"/>
      <c r="AR426" s="34"/>
      <c r="AS426" s="34"/>
      <c r="AT426" s="34"/>
    </row>
    <row r="427" spans="1:46" ht="89.25" x14ac:dyDescent="0.25">
      <c r="A427" s="18">
        <f t="shared" si="57"/>
        <v>30</v>
      </c>
      <c r="B427" s="18" t="s">
        <v>1528</v>
      </c>
      <c r="C427" s="18" t="s">
        <v>1404</v>
      </c>
      <c r="D427" s="18" t="s">
        <v>63</v>
      </c>
      <c r="E427" s="18" t="s">
        <v>63</v>
      </c>
      <c r="F427" s="18" t="s">
        <v>1405</v>
      </c>
      <c r="G427" s="18" t="s">
        <v>1508</v>
      </c>
      <c r="H427" s="18" t="s">
        <v>1508</v>
      </c>
      <c r="I427" s="18" t="s">
        <v>56</v>
      </c>
      <c r="J427" s="18" t="s">
        <v>57</v>
      </c>
      <c r="K427" s="25">
        <v>80111600</v>
      </c>
      <c r="L427" s="26"/>
      <c r="M427" s="26"/>
      <c r="N427" s="26"/>
      <c r="O427" s="26"/>
      <c r="P427" s="25" t="s">
        <v>1529</v>
      </c>
      <c r="Q427" s="89">
        <v>3038500</v>
      </c>
      <c r="R427" s="35">
        <v>1</v>
      </c>
      <c r="S427" s="218">
        <v>34942750</v>
      </c>
      <c r="T427" s="18"/>
      <c r="U427" s="18" t="s">
        <v>68</v>
      </c>
      <c r="V427" s="228">
        <v>43112</v>
      </c>
      <c r="W427" s="219">
        <v>11.5</v>
      </c>
      <c r="X427" s="40" t="s">
        <v>1530</v>
      </c>
      <c r="Y427" s="50">
        <v>43102</v>
      </c>
      <c r="Z427" s="203">
        <v>34942750</v>
      </c>
      <c r="AA427" s="110"/>
      <c r="AB427" s="220">
        <v>118</v>
      </c>
      <c r="AC427" s="92" t="s">
        <v>1481</v>
      </c>
      <c r="AD427" s="221">
        <v>34942750</v>
      </c>
      <c r="AE427" s="222">
        <f t="shared" si="56"/>
        <v>0</v>
      </c>
      <c r="AF427" s="223">
        <v>73</v>
      </c>
      <c r="AG427" s="224" t="s">
        <v>1423</v>
      </c>
      <c r="AH427" s="225">
        <v>34942750</v>
      </c>
      <c r="AI427" s="224" t="s">
        <v>1531</v>
      </c>
      <c r="AJ427" s="226">
        <v>59</v>
      </c>
      <c r="AK427" s="226"/>
      <c r="AL427" s="225">
        <v>0</v>
      </c>
      <c r="AM427" s="225">
        <v>34942750</v>
      </c>
      <c r="AN427" s="34"/>
      <c r="AO427" s="34"/>
      <c r="AP427" s="34"/>
      <c r="AQ427" s="34"/>
      <c r="AR427" s="34"/>
      <c r="AS427" s="34"/>
      <c r="AT427" s="34"/>
    </row>
    <row r="428" spans="1:46" ht="89.25" x14ac:dyDescent="0.25">
      <c r="A428" s="18">
        <f t="shared" si="57"/>
        <v>31</v>
      </c>
      <c r="B428" s="18" t="s">
        <v>1532</v>
      </c>
      <c r="C428" s="18" t="s">
        <v>1404</v>
      </c>
      <c r="D428" s="18" t="s">
        <v>63</v>
      </c>
      <c r="E428" s="18" t="s">
        <v>63</v>
      </c>
      <c r="F428" s="18" t="s">
        <v>1405</v>
      </c>
      <c r="G428" s="18" t="s">
        <v>1508</v>
      </c>
      <c r="H428" s="18" t="s">
        <v>1508</v>
      </c>
      <c r="I428" s="18" t="s">
        <v>56</v>
      </c>
      <c r="J428" s="18" t="s">
        <v>57</v>
      </c>
      <c r="K428" s="25">
        <v>80111600</v>
      </c>
      <c r="L428" s="26"/>
      <c r="M428" s="26"/>
      <c r="N428" s="26"/>
      <c r="O428" s="26"/>
      <c r="P428" s="25" t="s">
        <v>1529</v>
      </c>
      <c r="Q428" s="89">
        <v>3326900</v>
      </c>
      <c r="R428" s="35">
        <v>1</v>
      </c>
      <c r="S428" s="218">
        <v>38259350</v>
      </c>
      <c r="T428" s="18"/>
      <c r="U428" s="18" t="s">
        <v>68</v>
      </c>
      <c r="V428" s="228">
        <v>43112</v>
      </c>
      <c r="W428" s="92">
        <v>11.5</v>
      </c>
      <c r="X428" s="40" t="s">
        <v>1533</v>
      </c>
      <c r="Y428" s="50">
        <v>43102</v>
      </c>
      <c r="Z428" s="203">
        <v>38259350</v>
      </c>
      <c r="AA428" s="110"/>
      <c r="AB428" s="220">
        <v>117</v>
      </c>
      <c r="AC428" s="92" t="s">
        <v>1481</v>
      </c>
      <c r="AD428" s="221">
        <v>38259350</v>
      </c>
      <c r="AE428" s="222">
        <f t="shared" si="56"/>
        <v>0</v>
      </c>
      <c r="AF428" s="223">
        <v>203</v>
      </c>
      <c r="AG428" s="224" t="s">
        <v>1418</v>
      </c>
      <c r="AH428" s="225">
        <v>19961400</v>
      </c>
      <c r="AI428" s="224" t="s">
        <v>1534</v>
      </c>
      <c r="AJ428" s="226">
        <v>113</v>
      </c>
      <c r="AK428" s="226"/>
      <c r="AL428" s="225">
        <v>0</v>
      </c>
      <c r="AM428" s="225">
        <v>19961400</v>
      </c>
      <c r="AN428" s="34"/>
      <c r="AO428" s="34"/>
      <c r="AP428" s="34"/>
      <c r="AQ428" s="34"/>
      <c r="AR428" s="34"/>
      <c r="AS428" s="34"/>
      <c r="AT428" s="34"/>
    </row>
    <row r="429" spans="1:46" ht="89.25" x14ac:dyDescent="0.25">
      <c r="A429" s="18">
        <f t="shared" si="57"/>
        <v>32</v>
      </c>
      <c r="B429" s="18" t="s">
        <v>1535</v>
      </c>
      <c r="C429" s="18" t="s">
        <v>1404</v>
      </c>
      <c r="D429" s="18" t="s">
        <v>63</v>
      </c>
      <c r="E429" s="18" t="s">
        <v>63</v>
      </c>
      <c r="F429" s="18" t="s">
        <v>1405</v>
      </c>
      <c r="G429" s="18" t="s">
        <v>1508</v>
      </c>
      <c r="H429" s="18" t="s">
        <v>1508</v>
      </c>
      <c r="I429" s="18" t="s">
        <v>56</v>
      </c>
      <c r="J429" s="18" t="s">
        <v>57</v>
      </c>
      <c r="K429" s="25">
        <v>80111600</v>
      </c>
      <c r="L429" s="26"/>
      <c r="M429" s="26"/>
      <c r="N429" s="26"/>
      <c r="O429" s="26"/>
      <c r="P429" s="18" t="s">
        <v>1536</v>
      </c>
      <c r="Q429" s="89">
        <v>3326900</v>
      </c>
      <c r="R429" s="35">
        <v>1</v>
      </c>
      <c r="S429" s="218">
        <v>3708600</v>
      </c>
      <c r="T429" s="18"/>
      <c r="U429" s="18" t="s">
        <v>68</v>
      </c>
      <c r="V429" s="228">
        <v>43112</v>
      </c>
      <c r="W429" s="92">
        <v>4.5</v>
      </c>
      <c r="X429" s="40" t="s">
        <v>1537</v>
      </c>
      <c r="Y429" s="50">
        <v>43102</v>
      </c>
      <c r="Z429" s="203">
        <f>31961500-19961400</f>
        <v>12000100</v>
      </c>
      <c r="AA429" s="110"/>
      <c r="AB429" s="90"/>
      <c r="AC429" s="90"/>
      <c r="AD429" s="92"/>
      <c r="AE429" s="222">
        <f t="shared" si="56"/>
        <v>-8291500</v>
      </c>
      <c r="AF429" s="223"/>
      <c r="AG429" s="224"/>
      <c r="AH429" s="225"/>
      <c r="AI429" s="224"/>
      <c r="AJ429" s="226"/>
      <c r="AK429" s="226"/>
      <c r="AL429" s="225"/>
      <c r="AM429" s="225"/>
      <c r="AN429" s="34"/>
      <c r="AO429" s="34"/>
      <c r="AP429" s="34"/>
      <c r="AQ429" s="34"/>
      <c r="AR429" s="34"/>
      <c r="AS429" s="34"/>
      <c r="AT429" s="34"/>
    </row>
    <row r="430" spans="1:46" ht="76.5" x14ac:dyDescent="0.25">
      <c r="A430" s="18">
        <f t="shared" si="57"/>
        <v>33</v>
      </c>
      <c r="B430" s="18" t="s">
        <v>1538</v>
      </c>
      <c r="C430" s="18" t="s">
        <v>1404</v>
      </c>
      <c r="D430" s="18" t="s">
        <v>63</v>
      </c>
      <c r="E430" s="18" t="s">
        <v>63</v>
      </c>
      <c r="F430" s="18" t="s">
        <v>1405</v>
      </c>
      <c r="G430" s="18" t="s">
        <v>1508</v>
      </c>
      <c r="H430" s="18" t="s">
        <v>1508</v>
      </c>
      <c r="I430" s="18" t="s">
        <v>56</v>
      </c>
      <c r="J430" s="18" t="s">
        <v>57</v>
      </c>
      <c r="K430" s="25">
        <v>80111600</v>
      </c>
      <c r="L430" s="26"/>
      <c r="M430" s="26"/>
      <c r="N430" s="26"/>
      <c r="O430" s="26"/>
      <c r="P430" s="25" t="s">
        <v>1539</v>
      </c>
      <c r="Q430" s="89">
        <v>3038500</v>
      </c>
      <c r="R430" s="35">
        <v>1</v>
      </c>
      <c r="S430" s="218">
        <v>34942750</v>
      </c>
      <c r="T430" s="18"/>
      <c r="U430" s="18" t="s">
        <v>68</v>
      </c>
      <c r="V430" s="228">
        <v>43112</v>
      </c>
      <c r="W430" s="92">
        <v>11.5</v>
      </c>
      <c r="X430" s="40" t="s">
        <v>1540</v>
      </c>
      <c r="Y430" s="50">
        <v>43102</v>
      </c>
      <c r="Z430" s="203">
        <v>34942750</v>
      </c>
      <c r="AA430" s="110"/>
      <c r="AB430" s="220">
        <v>116</v>
      </c>
      <c r="AC430" s="92" t="s">
        <v>1481</v>
      </c>
      <c r="AD430" s="221">
        <v>34942750</v>
      </c>
      <c r="AE430" s="222">
        <f t="shared" si="56"/>
        <v>0</v>
      </c>
      <c r="AF430" s="223">
        <v>68</v>
      </c>
      <c r="AG430" s="224" t="s">
        <v>1423</v>
      </c>
      <c r="AH430" s="225">
        <v>34942750</v>
      </c>
      <c r="AI430" s="224" t="s">
        <v>1541</v>
      </c>
      <c r="AJ430" s="226">
        <v>62</v>
      </c>
      <c r="AK430" s="226"/>
      <c r="AL430" s="225">
        <v>0</v>
      </c>
      <c r="AM430" s="225">
        <v>34942750</v>
      </c>
      <c r="AN430" s="34"/>
      <c r="AO430" s="34"/>
      <c r="AP430" s="34"/>
      <c r="AQ430" s="34"/>
      <c r="AR430" s="34"/>
      <c r="AS430" s="34"/>
      <c r="AT430" s="34"/>
    </row>
    <row r="431" spans="1:46" ht="63.75" x14ac:dyDescent="0.25">
      <c r="A431" s="18">
        <f t="shared" si="57"/>
        <v>34</v>
      </c>
      <c r="B431" s="18" t="s">
        <v>1542</v>
      </c>
      <c r="C431" s="18" t="s">
        <v>1404</v>
      </c>
      <c r="D431" s="18" t="s">
        <v>63</v>
      </c>
      <c r="E431" s="18" t="s">
        <v>63</v>
      </c>
      <c r="F431" s="18" t="s">
        <v>1405</v>
      </c>
      <c r="G431" s="18" t="s">
        <v>1508</v>
      </c>
      <c r="H431" s="18" t="s">
        <v>1508</v>
      </c>
      <c r="I431" s="18" t="s">
        <v>56</v>
      </c>
      <c r="J431" s="18" t="s">
        <v>57</v>
      </c>
      <c r="K431" s="25">
        <v>80111600</v>
      </c>
      <c r="L431" s="26"/>
      <c r="M431" s="26"/>
      <c r="N431" s="26"/>
      <c r="O431" s="26"/>
      <c r="P431" s="25" t="s">
        <v>1543</v>
      </c>
      <c r="Q431" s="89">
        <v>2472000</v>
      </c>
      <c r="R431" s="35">
        <v>1</v>
      </c>
      <c r="S431" s="218">
        <v>28428000</v>
      </c>
      <c r="T431" s="18"/>
      <c r="U431" s="18" t="s">
        <v>68</v>
      </c>
      <c r="V431" s="228">
        <v>43112</v>
      </c>
      <c r="W431" s="92">
        <v>11.5</v>
      </c>
      <c r="X431" s="40" t="s">
        <v>1544</v>
      </c>
      <c r="Y431" s="50">
        <v>43102</v>
      </c>
      <c r="Z431" s="203">
        <v>28428000</v>
      </c>
      <c r="AA431" s="110"/>
      <c r="AB431" s="220">
        <v>115</v>
      </c>
      <c r="AC431" s="92" t="s">
        <v>1481</v>
      </c>
      <c r="AD431" s="221">
        <v>28428000</v>
      </c>
      <c r="AE431" s="222">
        <f t="shared" si="56"/>
        <v>0</v>
      </c>
      <c r="AF431" s="223">
        <v>75</v>
      </c>
      <c r="AG431" s="224" t="s">
        <v>1423</v>
      </c>
      <c r="AH431" s="225">
        <v>28428000</v>
      </c>
      <c r="AI431" s="224" t="s">
        <v>1545</v>
      </c>
      <c r="AJ431" s="226">
        <v>61</v>
      </c>
      <c r="AK431" s="226"/>
      <c r="AL431" s="225">
        <v>0</v>
      </c>
      <c r="AM431" s="225">
        <v>28428000</v>
      </c>
      <c r="AN431" s="34"/>
      <c r="AO431" s="34"/>
      <c r="AP431" s="34"/>
      <c r="AQ431" s="34"/>
      <c r="AR431" s="34"/>
      <c r="AS431" s="34"/>
      <c r="AT431" s="34"/>
    </row>
    <row r="432" spans="1:46" ht="89.25" x14ac:dyDescent="0.25">
      <c r="A432" s="18">
        <f t="shared" si="57"/>
        <v>35</v>
      </c>
      <c r="B432" s="18" t="s">
        <v>1546</v>
      </c>
      <c r="C432" s="18" t="s">
        <v>1404</v>
      </c>
      <c r="D432" s="18" t="s">
        <v>63</v>
      </c>
      <c r="E432" s="18" t="s">
        <v>63</v>
      </c>
      <c r="F432" s="18" t="s">
        <v>1405</v>
      </c>
      <c r="G432" s="18" t="s">
        <v>1508</v>
      </c>
      <c r="H432" s="18" t="s">
        <v>1508</v>
      </c>
      <c r="I432" s="18" t="s">
        <v>56</v>
      </c>
      <c r="J432" s="18" t="s">
        <v>57</v>
      </c>
      <c r="K432" s="25">
        <v>80111600</v>
      </c>
      <c r="L432" s="26"/>
      <c r="M432" s="26"/>
      <c r="N432" s="26"/>
      <c r="O432" s="26"/>
      <c r="P432" s="25" t="s">
        <v>1536</v>
      </c>
      <c r="Q432" s="89">
        <v>3326900</v>
      </c>
      <c r="R432" s="35">
        <v>1</v>
      </c>
      <c r="S432" s="218">
        <v>38259350</v>
      </c>
      <c r="T432" s="18"/>
      <c r="U432" s="18" t="s">
        <v>68</v>
      </c>
      <c r="V432" s="228">
        <v>43112</v>
      </c>
      <c r="W432" s="92">
        <v>11.5</v>
      </c>
      <c r="X432" s="40" t="s">
        <v>1547</v>
      </c>
      <c r="Y432" s="50">
        <v>43102</v>
      </c>
      <c r="Z432" s="203">
        <v>38259350</v>
      </c>
      <c r="AA432" s="110"/>
      <c r="AB432" s="220">
        <v>114</v>
      </c>
      <c r="AC432" s="92" t="s">
        <v>1481</v>
      </c>
      <c r="AD432" s="221">
        <v>38259350</v>
      </c>
      <c r="AE432" s="222">
        <f t="shared" si="56"/>
        <v>0</v>
      </c>
      <c r="AF432" s="223">
        <v>59</v>
      </c>
      <c r="AG432" s="224" t="s">
        <v>1423</v>
      </c>
      <c r="AH432" s="225">
        <v>38259350</v>
      </c>
      <c r="AI432" s="224" t="s">
        <v>1548</v>
      </c>
      <c r="AJ432" s="226">
        <v>42</v>
      </c>
      <c r="AK432" s="226"/>
      <c r="AL432" s="225">
        <v>0</v>
      </c>
      <c r="AM432" s="225">
        <v>38259350</v>
      </c>
      <c r="AN432" s="34"/>
      <c r="AO432" s="34"/>
      <c r="AP432" s="34"/>
      <c r="AQ432" s="34"/>
      <c r="AR432" s="34"/>
      <c r="AS432" s="34"/>
      <c r="AT432" s="34"/>
    </row>
    <row r="433" spans="1:46" ht="63.75" x14ac:dyDescent="0.25">
      <c r="A433" s="18">
        <f t="shared" si="57"/>
        <v>36</v>
      </c>
      <c r="B433" s="18" t="s">
        <v>1549</v>
      </c>
      <c r="C433" s="18" t="s">
        <v>1404</v>
      </c>
      <c r="D433" s="18" t="s">
        <v>63</v>
      </c>
      <c r="E433" s="18" t="s">
        <v>63</v>
      </c>
      <c r="F433" s="18" t="s">
        <v>1405</v>
      </c>
      <c r="G433" s="18" t="s">
        <v>1508</v>
      </c>
      <c r="H433" s="18" t="s">
        <v>1508</v>
      </c>
      <c r="I433" s="18" t="s">
        <v>56</v>
      </c>
      <c r="J433" s="18" t="s">
        <v>57</v>
      </c>
      <c r="K433" s="25">
        <v>80111600</v>
      </c>
      <c r="L433" s="26"/>
      <c r="M433" s="26"/>
      <c r="N433" s="26"/>
      <c r="O433" s="26"/>
      <c r="P433" s="25" t="s">
        <v>933</v>
      </c>
      <c r="Q433" s="89">
        <v>3038500</v>
      </c>
      <c r="R433" s="35">
        <v>1</v>
      </c>
      <c r="S433" s="218">
        <v>34942750</v>
      </c>
      <c r="T433" s="18"/>
      <c r="U433" s="18" t="s">
        <v>68</v>
      </c>
      <c r="V433" s="228">
        <v>43112</v>
      </c>
      <c r="W433" s="92">
        <v>11.5</v>
      </c>
      <c r="X433" s="40" t="s">
        <v>1550</v>
      </c>
      <c r="Y433" s="50">
        <v>43102</v>
      </c>
      <c r="Z433" s="203">
        <v>34942750</v>
      </c>
      <c r="AA433" s="110"/>
      <c r="AB433" s="220">
        <v>113</v>
      </c>
      <c r="AC433" s="92" t="s">
        <v>1481</v>
      </c>
      <c r="AD433" s="221">
        <v>34942750</v>
      </c>
      <c r="AE433" s="222">
        <f t="shared" si="56"/>
        <v>0</v>
      </c>
      <c r="AF433" s="223">
        <v>41</v>
      </c>
      <c r="AG433" s="224" t="s">
        <v>1423</v>
      </c>
      <c r="AH433" s="225">
        <v>34942750</v>
      </c>
      <c r="AI433" s="224" t="s">
        <v>1551</v>
      </c>
      <c r="AJ433" s="226">
        <v>49</v>
      </c>
      <c r="AK433" s="226"/>
      <c r="AL433" s="225">
        <v>0</v>
      </c>
      <c r="AM433" s="225">
        <v>34942750</v>
      </c>
      <c r="AN433" s="34"/>
      <c r="AO433" s="34"/>
      <c r="AP433" s="34"/>
      <c r="AQ433" s="34"/>
      <c r="AR433" s="34"/>
      <c r="AS433" s="34"/>
      <c r="AT433" s="34"/>
    </row>
    <row r="434" spans="1:46" ht="102.75" x14ac:dyDescent="0.25">
      <c r="A434" s="18">
        <f t="shared" si="57"/>
        <v>37</v>
      </c>
      <c r="B434" s="18" t="s">
        <v>1552</v>
      </c>
      <c r="C434" s="18" t="s">
        <v>1404</v>
      </c>
      <c r="D434" s="18" t="s">
        <v>63</v>
      </c>
      <c r="E434" s="18" t="s">
        <v>63</v>
      </c>
      <c r="F434" s="18" t="s">
        <v>1405</v>
      </c>
      <c r="G434" s="18" t="s">
        <v>1508</v>
      </c>
      <c r="H434" s="18" t="s">
        <v>1508</v>
      </c>
      <c r="I434" s="18" t="s">
        <v>56</v>
      </c>
      <c r="J434" s="18" t="s">
        <v>57</v>
      </c>
      <c r="K434" s="25">
        <v>80111600</v>
      </c>
      <c r="L434" s="26"/>
      <c r="M434" s="26"/>
      <c r="N434" s="26"/>
      <c r="O434" s="26"/>
      <c r="P434" s="26" t="s">
        <v>1553</v>
      </c>
      <c r="Q434" s="89">
        <v>3326900</v>
      </c>
      <c r="R434" s="35">
        <v>1</v>
      </c>
      <c r="S434" s="218">
        <v>38259350</v>
      </c>
      <c r="T434" s="18"/>
      <c r="U434" s="18" t="s">
        <v>68</v>
      </c>
      <c r="V434" s="228">
        <v>43112</v>
      </c>
      <c r="W434" s="92">
        <v>11.5</v>
      </c>
      <c r="X434" s="40" t="s">
        <v>1554</v>
      </c>
      <c r="Y434" s="50">
        <v>43102</v>
      </c>
      <c r="Z434" s="203">
        <v>38259350</v>
      </c>
      <c r="AA434" s="110"/>
      <c r="AB434" s="220">
        <v>112</v>
      </c>
      <c r="AC434" s="92" t="s">
        <v>1481</v>
      </c>
      <c r="AD434" s="221">
        <v>38259350</v>
      </c>
      <c r="AE434" s="222">
        <f t="shared" si="56"/>
        <v>0</v>
      </c>
      <c r="AF434" s="223">
        <v>71</v>
      </c>
      <c r="AG434" s="224" t="s">
        <v>1423</v>
      </c>
      <c r="AH434" s="225">
        <v>38259350</v>
      </c>
      <c r="AI434" s="224" t="s">
        <v>1555</v>
      </c>
      <c r="AJ434" s="226">
        <v>57</v>
      </c>
      <c r="AK434" s="226"/>
      <c r="AL434" s="225">
        <v>0</v>
      </c>
      <c r="AM434" s="225">
        <v>38259350</v>
      </c>
      <c r="AN434" s="34"/>
      <c r="AO434" s="34"/>
      <c r="AP434" s="34"/>
      <c r="AQ434" s="34"/>
      <c r="AR434" s="34"/>
      <c r="AS434" s="34"/>
      <c r="AT434" s="34"/>
    </row>
    <row r="435" spans="1:46" ht="89.25" x14ac:dyDescent="0.25">
      <c r="A435" s="18">
        <f t="shared" si="57"/>
        <v>38</v>
      </c>
      <c r="B435" s="18" t="s">
        <v>1556</v>
      </c>
      <c r="C435" s="18" t="s">
        <v>1404</v>
      </c>
      <c r="D435" s="18" t="s">
        <v>63</v>
      </c>
      <c r="E435" s="18" t="s">
        <v>63</v>
      </c>
      <c r="F435" s="18" t="s">
        <v>1405</v>
      </c>
      <c r="G435" s="18" t="s">
        <v>1508</v>
      </c>
      <c r="H435" s="18" t="s">
        <v>1508</v>
      </c>
      <c r="I435" s="18" t="s">
        <v>56</v>
      </c>
      <c r="J435" s="18" t="s">
        <v>57</v>
      </c>
      <c r="K435" s="25">
        <v>80111600</v>
      </c>
      <c r="L435" s="26"/>
      <c r="M435" s="26"/>
      <c r="N435" s="26"/>
      <c r="O435" s="26"/>
      <c r="P435" s="25" t="s">
        <v>1557</v>
      </c>
      <c r="Q435" s="89">
        <v>3038500</v>
      </c>
      <c r="R435" s="35">
        <v>1</v>
      </c>
      <c r="S435" s="218">
        <v>34942750</v>
      </c>
      <c r="T435" s="18"/>
      <c r="U435" s="18" t="s">
        <v>68</v>
      </c>
      <c r="V435" s="228">
        <v>43112</v>
      </c>
      <c r="W435" s="92">
        <v>11.5</v>
      </c>
      <c r="X435" s="40" t="s">
        <v>1558</v>
      </c>
      <c r="Y435" s="50">
        <v>43102</v>
      </c>
      <c r="Z435" s="203">
        <v>34942750</v>
      </c>
      <c r="AA435" s="110"/>
      <c r="AB435" s="220">
        <v>111</v>
      </c>
      <c r="AC435" s="92" t="s">
        <v>1481</v>
      </c>
      <c r="AD435" s="221">
        <v>34942750</v>
      </c>
      <c r="AE435" s="222">
        <f t="shared" si="56"/>
        <v>0</v>
      </c>
      <c r="AF435" s="223">
        <v>106</v>
      </c>
      <c r="AG435" s="224" t="s">
        <v>1423</v>
      </c>
      <c r="AH435" s="225">
        <v>34942750</v>
      </c>
      <c r="AI435" s="224" t="s">
        <v>1559</v>
      </c>
      <c r="AJ435" s="226">
        <v>84</v>
      </c>
      <c r="AK435" s="226"/>
      <c r="AL435" s="225">
        <v>0</v>
      </c>
      <c r="AM435" s="225">
        <v>34942750</v>
      </c>
      <c r="AN435" s="34"/>
      <c r="AO435" s="34"/>
      <c r="AP435" s="34"/>
      <c r="AQ435" s="34"/>
      <c r="AR435" s="34"/>
      <c r="AS435" s="34"/>
      <c r="AT435" s="34"/>
    </row>
    <row r="436" spans="1:46" ht="63.75" x14ac:dyDescent="0.25">
      <c r="A436" s="18">
        <f t="shared" si="57"/>
        <v>39</v>
      </c>
      <c r="B436" s="18" t="s">
        <v>1560</v>
      </c>
      <c r="C436" s="18" t="s">
        <v>1404</v>
      </c>
      <c r="D436" s="18" t="s">
        <v>63</v>
      </c>
      <c r="E436" s="18" t="s">
        <v>63</v>
      </c>
      <c r="F436" s="18" t="s">
        <v>1405</v>
      </c>
      <c r="G436" s="18" t="s">
        <v>1508</v>
      </c>
      <c r="H436" s="18" t="s">
        <v>1508</v>
      </c>
      <c r="I436" s="18" t="s">
        <v>56</v>
      </c>
      <c r="J436" s="18" t="s">
        <v>57</v>
      </c>
      <c r="K436" s="25">
        <v>80111600</v>
      </c>
      <c r="L436" s="26"/>
      <c r="M436" s="26"/>
      <c r="N436" s="26"/>
      <c r="O436" s="26"/>
      <c r="P436" s="25" t="s">
        <v>933</v>
      </c>
      <c r="Q436" s="89">
        <v>1545000</v>
      </c>
      <c r="R436" s="35">
        <v>1</v>
      </c>
      <c r="S436" s="218">
        <v>17767500</v>
      </c>
      <c r="T436" s="18"/>
      <c r="U436" s="18" t="s">
        <v>68</v>
      </c>
      <c r="V436" s="228">
        <v>43112</v>
      </c>
      <c r="W436" s="230">
        <v>11.5</v>
      </c>
      <c r="X436" s="40" t="s">
        <v>1561</v>
      </c>
      <c r="Y436" s="50">
        <v>43102</v>
      </c>
      <c r="Z436" s="203">
        <v>17767500</v>
      </c>
      <c r="AA436" s="110"/>
      <c r="AB436" s="220">
        <v>110</v>
      </c>
      <c r="AC436" s="92" t="s">
        <v>1481</v>
      </c>
      <c r="AD436" s="221">
        <v>17767500</v>
      </c>
      <c r="AE436" s="222">
        <f t="shared" si="56"/>
        <v>0</v>
      </c>
      <c r="AF436" s="223">
        <v>43</v>
      </c>
      <c r="AG436" s="224" t="s">
        <v>1423</v>
      </c>
      <c r="AH436" s="225">
        <v>17767500</v>
      </c>
      <c r="AI436" s="224" t="s">
        <v>1562</v>
      </c>
      <c r="AJ436" s="226">
        <v>50</v>
      </c>
      <c r="AK436" s="226"/>
      <c r="AL436" s="225">
        <v>0</v>
      </c>
      <c r="AM436" s="225">
        <v>17767500</v>
      </c>
      <c r="AN436" s="34"/>
      <c r="AO436" s="34"/>
      <c r="AP436" s="34"/>
      <c r="AQ436" s="34"/>
      <c r="AR436" s="34"/>
      <c r="AS436" s="34"/>
      <c r="AT436" s="34"/>
    </row>
    <row r="437" spans="1:46" ht="63.75" x14ac:dyDescent="0.25">
      <c r="A437" s="18">
        <f t="shared" si="57"/>
        <v>40</v>
      </c>
      <c r="B437" s="18" t="s">
        <v>1563</v>
      </c>
      <c r="C437" s="18" t="s">
        <v>1404</v>
      </c>
      <c r="D437" s="18" t="s">
        <v>63</v>
      </c>
      <c r="E437" s="18" t="s">
        <v>63</v>
      </c>
      <c r="F437" s="18" t="s">
        <v>1405</v>
      </c>
      <c r="G437" s="18" t="s">
        <v>1508</v>
      </c>
      <c r="H437" s="18" t="s">
        <v>1508</v>
      </c>
      <c r="I437" s="18" t="s">
        <v>56</v>
      </c>
      <c r="J437" s="18" t="s">
        <v>57</v>
      </c>
      <c r="K437" s="25">
        <v>80111600</v>
      </c>
      <c r="L437" s="26"/>
      <c r="M437" s="26"/>
      <c r="N437" s="26"/>
      <c r="O437" s="26"/>
      <c r="P437" s="25" t="s">
        <v>933</v>
      </c>
      <c r="Q437" s="89">
        <v>1545000</v>
      </c>
      <c r="R437" s="35">
        <v>1</v>
      </c>
      <c r="S437" s="218">
        <v>17767500</v>
      </c>
      <c r="T437" s="18"/>
      <c r="U437" s="18" t="s">
        <v>68</v>
      </c>
      <c r="V437" s="228">
        <v>43112</v>
      </c>
      <c r="W437" s="230">
        <v>11.5</v>
      </c>
      <c r="X437" s="40" t="s">
        <v>1564</v>
      </c>
      <c r="Y437" s="50">
        <v>43102</v>
      </c>
      <c r="Z437" s="203">
        <v>17767500</v>
      </c>
      <c r="AA437" s="110"/>
      <c r="AB437" s="220">
        <v>109</v>
      </c>
      <c r="AC437" s="92" t="s">
        <v>1481</v>
      </c>
      <c r="AD437" s="221">
        <v>17767500</v>
      </c>
      <c r="AE437" s="222">
        <f t="shared" si="56"/>
        <v>0</v>
      </c>
      <c r="AF437" s="223">
        <v>36</v>
      </c>
      <c r="AG437" s="224" t="s">
        <v>1423</v>
      </c>
      <c r="AH437" s="225">
        <v>17767500</v>
      </c>
      <c r="AI437" s="224" t="s">
        <v>1565</v>
      </c>
      <c r="AJ437" s="226">
        <v>46</v>
      </c>
      <c r="AK437" s="226"/>
      <c r="AL437" s="225">
        <v>0</v>
      </c>
      <c r="AM437" s="225">
        <v>17767500</v>
      </c>
      <c r="AN437" s="34"/>
      <c r="AO437" s="34"/>
      <c r="AP437" s="34"/>
      <c r="AQ437" s="34"/>
      <c r="AR437" s="34"/>
      <c r="AS437" s="34"/>
      <c r="AT437" s="34"/>
    </row>
    <row r="438" spans="1:46" ht="76.5" x14ac:dyDescent="0.25">
      <c r="A438" s="18">
        <f t="shared" si="57"/>
        <v>41</v>
      </c>
      <c r="B438" s="18" t="s">
        <v>1566</v>
      </c>
      <c r="C438" s="18" t="s">
        <v>1404</v>
      </c>
      <c r="D438" s="18" t="s">
        <v>63</v>
      </c>
      <c r="E438" s="18" t="s">
        <v>63</v>
      </c>
      <c r="F438" s="18" t="s">
        <v>1405</v>
      </c>
      <c r="G438" s="18" t="s">
        <v>1508</v>
      </c>
      <c r="H438" s="18" t="s">
        <v>1508</v>
      </c>
      <c r="I438" s="18" t="s">
        <v>56</v>
      </c>
      <c r="J438" s="18" t="s">
        <v>57</v>
      </c>
      <c r="K438" s="25">
        <v>80111600</v>
      </c>
      <c r="L438" s="26"/>
      <c r="M438" s="26"/>
      <c r="N438" s="26"/>
      <c r="O438" s="26"/>
      <c r="P438" s="25" t="s">
        <v>1539</v>
      </c>
      <c r="Q438" s="89">
        <v>2472000</v>
      </c>
      <c r="R438" s="35">
        <v>1</v>
      </c>
      <c r="S438" s="218">
        <v>28428000</v>
      </c>
      <c r="T438" s="18"/>
      <c r="U438" s="18" t="s">
        <v>68</v>
      </c>
      <c r="V438" s="228">
        <v>43112</v>
      </c>
      <c r="W438" s="219">
        <v>11.5</v>
      </c>
      <c r="X438" s="40" t="s">
        <v>1567</v>
      </c>
      <c r="Y438" s="50">
        <v>43102</v>
      </c>
      <c r="Z438" s="203">
        <v>28428000</v>
      </c>
      <c r="AA438" s="110"/>
      <c r="AB438" s="220">
        <v>108</v>
      </c>
      <c r="AC438" s="92" t="s">
        <v>1481</v>
      </c>
      <c r="AD438" s="221">
        <v>28428000</v>
      </c>
      <c r="AE438" s="222">
        <f t="shared" si="56"/>
        <v>0</v>
      </c>
      <c r="AF438" s="223">
        <v>226</v>
      </c>
      <c r="AG438" s="224" t="s">
        <v>1418</v>
      </c>
      <c r="AH438" s="225">
        <v>28428000</v>
      </c>
      <c r="AI438" s="224" t="s">
        <v>1568</v>
      </c>
      <c r="AJ438" s="226">
        <v>196</v>
      </c>
      <c r="AK438" s="226"/>
      <c r="AL438" s="225">
        <v>0</v>
      </c>
      <c r="AM438" s="225">
        <v>28428000</v>
      </c>
      <c r="AN438" s="34"/>
      <c r="AO438" s="34"/>
      <c r="AP438" s="34"/>
      <c r="AQ438" s="34"/>
      <c r="AR438" s="34"/>
      <c r="AS438" s="34"/>
      <c r="AT438" s="34"/>
    </row>
    <row r="439" spans="1:46" ht="76.5" x14ac:dyDescent="0.25">
      <c r="A439" s="18">
        <f t="shared" si="57"/>
        <v>42</v>
      </c>
      <c r="B439" s="18" t="s">
        <v>1569</v>
      </c>
      <c r="C439" s="18" t="s">
        <v>1404</v>
      </c>
      <c r="D439" s="18" t="s">
        <v>63</v>
      </c>
      <c r="E439" s="18" t="s">
        <v>63</v>
      </c>
      <c r="F439" s="18" t="s">
        <v>1405</v>
      </c>
      <c r="G439" s="18" t="s">
        <v>1508</v>
      </c>
      <c r="H439" s="18" t="s">
        <v>1508</v>
      </c>
      <c r="I439" s="18" t="s">
        <v>56</v>
      </c>
      <c r="J439" s="18" t="s">
        <v>57</v>
      </c>
      <c r="K439" s="25">
        <v>80111600</v>
      </c>
      <c r="L439" s="26"/>
      <c r="M439" s="26"/>
      <c r="N439" s="26"/>
      <c r="O439" s="26"/>
      <c r="P439" s="25" t="s">
        <v>1570</v>
      </c>
      <c r="Q439" s="89">
        <v>1751000</v>
      </c>
      <c r="R439" s="35">
        <v>1</v>
      </c>
      <c r="S439" s="218">
        <v>20136500</v>
      </c>
      <c r="T439" s="18"/>
      <c r="U439" s="18" t="s">
        <v>68</v>
      </c>
      <c r="V439" s="228">
        <v>43112</v>
      </c>
      <c r="W439" s="219">
        <v>11.5</v>
      </c>
      <c r="X439" s="40" t="s">
        <v>1571</v>
      </c>
      <c r="Y439" s="50">
        <v>43102</v>
      </c>
      <c r="Z439" s="203">
        <v>20136500</v>
      </c>
      <c r="AA439" s="110"/>
      <c r="AB439" s="220">
        <v>107</v>
      </c>
      <c r="AC439" s="92" t="s">
        <v>1481</v>
      </c>
      <c r="AD439" s="221">
        <v>20136500</v>
      </c>
      <c r="AE439" s="222">
        <f t="shared" si="56"/>
        <v>0</v>
      </c>
      <c r="AF439" s="223">
        <v>49</v>
      </c>
      <c r="AG439" s="224" t="s">
        <v>1423</v>
      </c>
      <c r="AH439" s="225">
        <v>20136500</v>
      </c>
      <c r="AI439" s="224" t="s">
        <v>1572</v>
      </c>
      <c r="AJ439" s="226">
        <v>53</v>
      </c>
      <c r="AK439" s="226"/>
      <c r="AL439" s="225">
        <v>0</v>
      </c>
      <c r="AM439" s="225">
        <v>20136500</v>
      </c>
      <c r="AN439" s="34"/>
      <c r="AO439" s="34"/>
      <c r="AP439" s="34"/>
      <c r="AQ439" s="34"/>
      <c r="AR439" s="34"/>
      <c r="AS439" s="34"/>
      <c r="AT439" s="34"/>
    </row>
    <row r="440" spans="1:46" ht="76.5" x14ac:dyDescent="0.25">
      <c r="A440" s="18">
        <f t="shared" si="57"/>
        <v>43</v>
      </c>
      <c r="B440" s="18" t="s">
        <v>1573</v>
      </c>
      <c r="C440" s="18" t="s">
        <v>1404</v>
      </c>
      <c r="D440" s="18" t="s">
        <v>63</v>
      </c>
      <c r="E440" s="18" t="s">
        <v>63</v>
      </c>
      <c r="F440" s="18" t="s">
        <v>1405</v>
      </c>
      <c r="G440" s="18" t="s">
        <v>1508</v>
      </c>
      <c r="H440" s="18" t="s">
        <v>1508</v>
      </c>
      <c r="I440" s="18" t="s">
        <v>56</v>
      </c>
      <c r="J440" s="18" t="s">
        <v>57</v>
      </c>
      <c r="K440" s="25">
        <v>80111600</v>
      </c>
      <c r="L440" s="26"/>
      <c r="M440" s="26"/>
      <c r="N440" s="26"/>
      <c r="O440" s="26"/>
      <c r="P440" s="25" t="s">
        <v>1574</v>
      </c>
      <c r="Q440" s="89">
        <v>1751000</v>
      </c>
      <c r="R440" s="35">
        <v>1</v>
      </c>
      <c r="S440" s="218">
        <v>28428000</v>
      </c>
      <c r="T440" s="18"/>
      <c r="U440" s="18" t="s">
        <v>68</v>
      </c>
      <c r="V440" s="228">
        <v>43112</v>
      </c>
      <c r="W440" s="219">
        <v>11.5</v>
      </c>
      <c r="X440" s="108" t="s">
        <v>1787</v>
      </c>
      <c r="Y440" s="50">
        <v>43109</v>
      </c>
      <c r="Z440" s="203">
        <v>28428000</v>
      </c>
      <c r="AA440" s="110"/>
      <c r="AB440" s="220">
        <v>436</v>
      </c>
      <c r="AC440" s="92" t="s">
        <v>1575</v>
      </c>
      <c r="AD440" s="221">
        <v>28428000</v>
      </c>
      <c r="AE440" s="222">
        <f t="shared" si="56"/>
        <v>0</v>
      </c>
      <c r="AF440" s="223">
        <v>55</v>
      </c>
      <c r="AG440" s="224" t="s">
        <v>1423</v>
      </c>
      <c r="AH440" s="225">
        <v>28428000</v>
      </c>
      <c r="AI440" s="224" t="s">
        <v>1576</v>
      </c>
      <c r="AJ440" s="226">
        <v>40</v>
      </c>
      <c r="AK440" s="226"/>
      <c r="AL440" s="225">
        <v>0</v>
      </c>
      <c r="AM440" s="225">
        <v>28428000</v>
      </c>
      <c r="AN440" s="34"/>
      <c r="AO440" s="34"/>
      <c r="AP440" s="34"/>
      <c r="AQ440" s="34"/>
      <c r="AR440" s="34"/>
      <c r="AS440" s="34"/>
      <c r="AT440" s="34"/>
    </row>
    <row r="441" spans="1:46" ht="63.75" x14ac:dyDescent="0.25">
      <c r="A441" s="18">
        <f t="shared" si="57"/>
        <v>44</v>
      </c>
      <c r="B441" s="18" t="s">
        <v>1577</v>
      </c>
      <c r="C441" s="18" t="s">
        <v>1404</v>
      </c>
      <c r="D441" s="18" t="s">
        <v>63</v>
      </c>
      <c r="E441" s="18" t="s">
        <v>63</v>
      </c>
      <c r="F441" s="18" t="s">
        <v>1405</v>
      </c>
      <c r="G441" s="18" t="s">
        <v>1508</v>
      </c>
      <c r="H441" s="18" t="s">
        <v>1508</v>
      </c>
      <c r="I441" s="18" t="s">
        <v>56</v>
      </c>
      <c r="J441" s="18" t="s">
        <v>57</v>
      </c>
      <c r="K441" s="25">
        <v>80111600</v>
      </c>
      <c r="L441" s="26"/>
      <c r="M441" s="26"/>
      <c r="N441" s="26"/>
      <c r="O441" s="26"/>
      <c r="P441" s="25" t="s">
        <v>1578</v>
      </c>
      <c r="Q441" s="89">
        <v>1751000</v>
      </c>
      <c r="R441" s="35">
        <v>1</v>
      </c>
      <c r="S441" s="218">
        <v>20136500</v>
      </c>
      <c r="T441" s="18"/>
      <c r="U441" s="18" t="s">
        <v>68</v>
      </c>
      <c r="V441" s="228">
        <v>43112</v>
      </c>
      <c r="W441" s="219">
        <v>11.5</v>
      </c>
      <c r="X441" s="40" t="s">
        <v>1579</v>
      </c>
      <c r="Y441" s="50">
        <v>43102</v>
      </c>
      <c r="Z441" s="203">
        <v>20136500</v>
      </c>
      <c r="AA441" s="110"/>
      <c r="AB441" s="220">
        <v>105</v>
      </c>
      <c r="AC441" s="92" t="s">
        <v>1481</v>
      </c>
      <c r="AD441" s="221">
        <v>20136500</v>
      </c>
      <c r="AE441" s="222">
        <f t="shared" si="56"/>
        <v>0</v>
      </c>
      <c r="AF441" s="223">
        <v>70</v>
      </c>
      <c r="AG441" s="224" t="s">
        <v>1423</v>
      </c>
      <c r="AH441" s="225">
        <v>20136500</v>
      </c>
      <c r="AI441" s="224" t="s">
        <v>1580</v>
      </c>
      <c r="AJ441" s="226">
        <v>56</v>
      </c>
      <c r="AK441" s="226"/>
      <c r="AL441" s="225">
        <v>0</v>
      </c>
      <c r="AM441" s="225">
        <v>20136500</v>
      </c>
      <c r="AN441" s="34"/>
      <c r="AO441" s="34"/>
      <c r="AP441" s="34"/>
      <c r="AQ441" s="34"/>
      <c r="AR441" s="34"/>
      <c r="AS441" s="34"/>
      <c r="AT441" s="34"/>
    </row>
    <row r="442" spans="1:46" ht="38.25" x14ac:dyDescent="0.25">
      <c r="A442" s="18">
        <f t="shared" si="57"/>
        <v>45</v>
      </c>
      <c r="B442" s="18" t="s">
        <v>1581</v>
      </c>
      <c r="C442" s="18" t="s">
        <v>1404</v>
      </c>
      <c r="D442" s="18" t="s">
        <v>63</v>
      </c>
      <c r="E442" s="18" t="s">
        <v>63</v>
      </c>
      <c r="F442" s="18" t="s">
        <v>1582</v>
      </c>
      <c r="G442" s="18" t="s">
        <v>1583</v>
      </c>
      <c r="H442" s="18" t="s">
        <v>1584</v>
      </c>
      <c r="I442" s="18" t="s">
        <v>56</v>
      </c>
      <c r="J442" s="18" t="s">
        <v>57</v>
      </c>
      <c r="K442" s="25">
        <v>83101800</v>
      </c>
      <c r="L442" s="26"/>
      <c r="M442" s="26"/>
      <c r="N442" s="26"/>
      <c r="O442" s="26"/>
      <c r="P442" s="231" t="s">
        <v>1585</v>
      </c>
      <c r="Q442" s="89">
        <v>12500000</v>
      </c>
      <c r="R442" s="35">
        <v>1</v>
      </c>
      <c r="S442" s="218">
        <v>154617000</v>
      </c>
      <c r="T442" s="18"/>
      <c r="U442" s="18" t="s">
        <v>1586</v>
      </c>
      <c r="V442" s="51" t="s">
        <v>1587</v>
      </c>
      <c r="W442" s="184">
        <v>12</v>
      </c>
      <c r="X442" s="232" t="s">
        <v>1588</v>
      </c>
      <c r="Y442" s="109"/>
      <c r="Z442" s="233">
        <v>154617000</v>
      </c>
      <c r="AA442" s="110"/>
      <c r="AB442" s="220">
        <v>127</v>
      </c>
      <c r="AC442" s="92" t="s">
        <v>1481</v>
      </c>
      <c r="AD442" s="221">
        <v>154617000</v>
      </c>
      <c r="AE442" s="222">
        <f t="shared" si="56"/>
        <v>0</v>
      </c>
      <c r="AF442" s="223">
        <v>122</v>
      </c>
      <c r="AG442" s="224" t="s">
        <v>1433</v>
      </c>
      <c r="AH442" s="225">
        <v>11671210</v>
      </c>
      <c r="AI442" s="224" t="s">
        <v>1589</v>
      </c>
      <c r="AJ442" s="226">
        <v>608365</v>
      </c>
      <c r="AK442" s="226"/>
      <c r="AL442" s="225">
        <v>11671210</v>
      </c>
      <c r="AM442" s="225">
        <v>0</v>
      </c>
      <c r="AN442" s="34"/>
      <c r="AO442" s="34"/>
      <c r="AP442" s="34"/>
      <c r="AQ442" s="34"/>
      <c r="AR442" s="34"/>
      <c r="AS442" s="34"/>
      <c r="AT442" s="34"/>
    </row>
    <row r="443" spans="1:46" ht="38.25" x14ac:dyDescent="0.25">
      <c r="A443" s="18">
        <f t="shared" si="57"/>
        <v>46</v>
      </c>
      <c r="B443" s="18" t="s">
        <v>1590</v>
      </c>
      <c r="C443" s="18" t="s">
        <v>1404</v>
      </c>
      <c r="D443" s="18" t="s">
        <v>63</v>
      </c>
      <c r="E443" s="18" t="s">
        <v>63</v>
      </c>
      <c r="F443" s="18" t="s">
        <v>1582</v>
      </c>
      <c r="G443" s="18" t="s">
        <v>1583</v>
      </c>
      <c r="H443" s="18" t="s">
        <v>1591</v>
      </c>
      <c r="I443" s="18" t="s">
        <v>56</v>
      </c>
      <c r="J443" s="18" t="s">
        <v>57</v>
      </c>
      <c r="K443" s="25">
        <v>83101500</v>
      </c>
      <c r="L443" s="26"/>
      <c r="M443" s="26"/>
      <c r="N443" s="26"/>
      <c r="O443" s="26"/>
      <c r="P443" s="231" t="s">
        <v>1592</v>
      </c>
      <c r="Q443" s="89">
        <v>1850000</v>
      </c>
      <c r="R443" s="35">
        <v>1</v>
      </c>
      <c r="S443" s="218">
        <v>22866000</v>
      </c>
      <c r="T443" s="18"/>
      <c r="U443" s="18" t="s">
        <v>1586</v>
      </c>
      <c r="V443" s="51" t="s">
        <v>1587</v>
      </c>
      <c r="W443" s="184">
        <v>12</v>
      </c>
      <c r="X443" s="232" t="s">
        <v>1588</v>
      </c>
      <c r="Y443" s="109"/>
      <c r="Z443" s="233">
        <v>22866000</v>
      </c>
      <c r="AA443" s="110"/>
      <c r="AB443" s="220">
        <v>128</v>
      </c>
      <c r="AC443" s="92" t="s">
        <v>1481</v>
      </c>
      <c r="AD443" s="221">
        <v>22866000</v>
      </c>
      <c r="AE443" s="222">
        <f t="shared" si="56"/>
        <v>0</v>
      </c>
      <c r="AF443" s="223"/>
      <c r="AG443" s="224"/>
      <c r="AH443" s="225"/>
      <c r="AI443" s="224"/>
      <c r="AJ443" s="226"/>
      <c r="AK443" s="226"/>
      <c r="AL443" s="225"/>
      <c r="AM443" s="225"/>
      <c r="AN443" s="34"/>
      <c r="AO443" s="34"/>
      <c r="AP443" s="34"/>
      <c r="AQ443" s="34"/>
      <c r="AR443" s="34"/>
      <c r="AS443" s="34"/>
      <c r="AT443" s="34"/>
    </row>
    <row r="444" spans="1:46" ht="38.25" x14ac:dyDescent="0.25">
      <c r="A444" s="18">
        <f t="shared" si="57"/>
        <v>47</v>
      </c>
      <c r="B444" s="18" t="s">
        <v>1593</v>
      </c>
      <c r="C444" s="18" t="s">
        <v>1404</v>
      </c>
      <c r="D444" s="18" t="s">
        <v>63</v>
      </c>
      <c r="E444" s="18" t="s">
        <v>63</v>
      </c>
      <c r="F444" s="18" t="s">
        <v>1582</v>
      </c>
      <c r="G444" s="18" t="s">
        <v>1583</v>
      </c>
      <c r="H444" s="18" t="s">
        <v>1594</v>
      </c>
      <c r="I444" s="18" t="s">
        <v>56</v>
      </c>
      <c r="J444" s="18" t="s">
        <v>57</v>
      </c>
      <c r="K444" s="25">
        <v>83101500</v>
      </c>
      <c r="L444" s="26"/>
      <c r="M444" s="26"/>
      <c r="N444" s="26"/>
      <c r="O444" s="26"/>
      <c r="P444" s="231" t="s">
        <v>1595</v>
      </c>
      <c r="Q444" s="89">
        <v>983333.33333333337</v>
      </c>
      <c r="R444" s="35">
        <v>1</v>
      </c>
      <c r="S444" s="218">
        <v>12144000</v>
      </c>
      <c r="T444" s="18"/>
      <c r="U444" s="18" t="s">
        <v>1586</v>
      </c>
      <c r="V444" s="51" t="s">
        <v>1587</v>
      </c>
      <c r="W444" s="184">
        <v>12</v>
      </c>
      <c r="X444" s="232" t="s">
        <v>1588</v>
      </c>
      <c r="Y444" s="109"/>
      <c r="Z444" s="233">
        <v>12144000</v>
      </c>
      <c r="AA444" s="110"/>
      <c r="AB444" s="220">
        <v>130</v>
      </c>
      <c r="AC444" s="92" t="s">
        <v>1481</v>
      </c>
      <c r="AD444" s="221">
        <v>12144000</v>
      </c>
      <c r="AE444" s="222">
        <f t="shared" si="56"/>
        <v>0</v>
      </c>
      <c r="AF444" s="223"/>
      <c r="AG444" s="224"/>
      <c r="AH444" s="225"/>
      <c r="AI444" s="224"/>
      <c r="AJ444" s="226"/>
      <c r="AK444" s="226"/>
      <c r="AL444" s="225"/>
      <c r="AM444" s="225"/>
      <c r="AN444" s="34"/>
      <c r="AO444" s="34"/>
      <c r="AP444" s="34"/>
      <c r="AQ444" s="34"/>
      <c r="AR444" s="34"/>
      <c r="AS444" s="34"/>
      <c r="AT444" s="34"/>
    </row>
    <row r="445" spans="1:46" ht="38.25" x14ac:dyDescent="0.25">
      <c r="A445" s="18">
        <f t="shared" si="57"/>
        <v>48</v>
      </c>
      <c r="B445" s="18" t="s">
        <v>1596</v>
      </c>
      <c r="C445" s="18" t="s">
        <v>1404</v>
      </c>
      <c r="D445" s="18" t="s">
        <v>63</v>
      </c>
      <c r="E445" s="18" t="s">
        <v>63</v>
      </c>
      <c r="F445" s="18" t="s">
        <v>1582</v>
      </c>
      <c r="G445" s="18" t="s">
        <v>1583</v>
      </c>
      <c r="H445" s="18" t="s">
        <v>1597</v>
      </c>
      <c r="I445" s="18" t="s">
        <v>56</v>
      </c>
      <c r="J445" s="18" t="s">
        <v>57</v>
      </c>
      <c r="K445" s="25">
        <v>83111501</v>
      </c>
      <c r="L445" s="26"/>
      <c r="M445" s="26"/>
      <c r="N445" s="26"/>
      <c r="O445" s="26"/>
      <c r="P445" s="231" t="s">
        <v>1598</v>
      </c>
      <c r="Q445" s="89">
        <v>7600000</v>
      </c>
      <c r="R445" s="35">
        <v>1</v>
      </c>
      <c r="S445" s="218">
        <v>93936000</v>
      </c>
      <c r="T445" s="18"/>
      <c r="U445" s="18" t="s">
        <v>1586</v>
      </c>
      <c r="V445" s="51" t="s">
        <v>1587</v>
      </c>
      <c r="W445" s="184">
        <v>12</v>
      </c>
      <c r="X445" s="232" t="s">
        <v>1588</v>
      </c>
      <c r="Y445" s="109"/>
      <c r="Z445" s="233">
        <v>93936000</v>
      </c>
      <c r="AA445" s="110"/>
      <c r="AB445" s="220">
        <v>129</v>
      </c>
      <c r="AC445" s="92" t="s">
        <v>1481</v>
      </c>
      <c r="AD445" s="221">
        <v>93936000</v>
      </c>
      <c r="AE445" s="222">
        <f t="shared" si="56"/>
        <v>0</v>
      </c>
      <c r="AF445" s="223">
        <v>313</v>
      </c>
      <c r="AG445" s="224" t="s">
        <v>1476</v>
      </c>
      <c r="AH445" s="225">
        <v>5467334</v>
      </c>
      <c r="AI445" s="224" t="s">
        <v>1599</v>
      </c>
      <c r="AJ445" s="226">
        <v>564832</v>
      </c>
      <c r="AK445" s="226"/>
      <c r="AL445" s="225">
        <v>5467334</v>
      </c>
      <c r="AM445" s="225">
        <v>0</v>
      </c>
      <c r="AN445" s="34"/>
      <c r="AO445" s="34"/>
      <c r="AP445" s="34"/>
      <c r="AQ445" s="34"/>
      <c r="AR445" s="34"/>
      <c r="AS445" s="34"/>
      <c r="AT445" s="34"/>
    </row>
    <row r="446" spans="1:46" ht="76.5" x14ac:dyDescent="0.25">
      <c r="A446" s="18">
        <f t="shared" si="57"/>
        <v>49</v>
      </c>
      <c r="B446" s="18" t="s">
        <v>1600</v>
      </c>
      <c r="C446" s="18" t="s">
        <v>1404</v>
      </c>
      <c r="D446" s="18" t="s">
        <v>63</v>
      </c>
      <c r="E446" s="18" t="s">
        <v>63</v>
      </c>
      <c r="F446" s="18" t="s">
        <v>1582</v>
      </c>
      <c r="G446" s="18" t="s">
        <v>1583</v>
      </c>
      <c r="H446" s="18" t="s">
        <v>1601</v>
      </c>
      <c r="I446" s="18" t="s">
        <v>56</v>
      </c>
      <c r="J446" s="18" t="s">
        <v>57</v>
      </c>
      <c r="K446" s="25">
        <v>86101700</v>
      </c>
      <c r="L446" s="26"/>
      <c r="M446" s="26"/>
      <c r="N446" s="26"/>
      <c r="O446" s="26"/>
      <c r="P446" s="231" t="s">
        <v>1602</v>
      </c>
      <c r="Q446" s="89">
        <v>4895214.2857142854</v>
      </c>
      <c r="R446" s="35">
        <v>1</v>
      </c>
      <c r="S446" s="218">
        <v>34266500</v>
      </c>
      <c r="T446" s="18"/>
      <c r="U446" s="18" t="s">
        <v>212</v>
      </c>
      <c r="V446" s="228">
        <v>43189</v>
      </c>
      <c r="W446" s="184">
        <v>7</v>
      </c>
      <c r="X446" s="90"/>
      <c r="Y446" s="228"/>
      <c r="Z446" s="234"/>
      <c r="AA446" s="110"/>
      <c r="AB446" s="40"/>
      <c r="AC446" s="18"/>
      <c r="AD446" s="34"/>
      <c r="AE446" s="222">
        <f t="shared" si="56"/>
        <v>34266500</v>
      </c>
      <c r="AF446" s="91"/>
      <c r="AG446" s="124"/>
      <c r="AH446" s="124"/>
      <c r="AI446" s="124"/>
      <c r="AJ446" s="124"/>
      <c r="AK446" s="124"/>
      <c r="AL446" s="124"/>
      <c r="AM446" s="124"/>
      <c r="AN446" s="34"/>
      <c r="AO446" s="34"/>
      <c r="AP446" s="34"/>
      <c r="AQ446" s="34"/>
      <c r="AR446" s="34"/>
      <c r="AS446" s="34"/>
      <c r="AT446" s="34"/>
    </row>
    <row r="447" spans="1:46" ht="38.25" x14ac:dyDescent="0.25">
      <c r="A447" s="18">
        <f t="shared" si="57"/>
        <v>50</v>
      </c>
      <c r="B447" s="18" t="s">
        <v>1603</v>
      </c>
      <c r="C447" s="18" t="s">
        <v>1404</v>
      </c>
      <c r="D447" s="18" t="s">
        <v>63</v>
      </c>
      <c r="E447" s="18" t="s">
        <v>63</v>
      </c>
      <c r="F447" s="18" t="s">
        <v>1582</v>
      </c>
      <c r="G447" s="18" t="s">
        <v>1583</v>
      </c>
      <c r="H447" s="18" t="s">
        <v>1601</v>
      </c>
      <c r="I447" s="18" t="s">
        <v>56</v>
      </c>
      <c r="J447" s="18" t="s">
        <v>57</v>
      </c>
      <c r="K447" s="25" t="s">
        <v>1604</v>
      </c>
      <c r="L447" s="26"/>
      <c r="M447" s="26"/>
      <c r="N447" s="26"/>
      <c r="O447" s="26"/>
      <c r="P447" s="231" t="s">
        <v>1605</v>
      </c>
      <c r="Q447" s="89">
        <v>875500</v>
      </c>
      <c r="R447" s="35">
        <v>1</v>
      </c>
      <c r="S447" s="218">
        <v>875500</v>
      </c>
      <c r="T447" s="18"/>
      <c r="U447" s="18" t="s">
        <v>1586</v>
      </c>
      <c r="V447" s="228" t="s">
        <v>1587</v>
      </c>
      <c r="W447" s="184">
        <v>1</v>
      </c>
      <c r="X447" s="40"/>
      <c r="Y447" s="50"/>
      <c r="Z447" s="37"/>
      <c r="AA447" s="110"/>
      <c r="AB447" s="40"/>
      <c r="AC447" s="18"/>
      <c r="AD447" s="34"/>
      <c r="AE447" s="222">
        <f t="shared" si="56"/>
        <v>875500</v>
      </c>
      <c r="AF447" s="90"/>
      <c r="AG447" s="256"/>
      <c r="AH447" s="256"/>
      <c r="AI447" s="124"/>
      <c r="AJ447" s="256"/>
      <c r="AK447" s="256"/>
      <c r="AL447" s="256"/>
      <c r="AM447" s="256"/>
      <c r="AN447" s="34"/>
      <c r="AO447" s="34"/>
      <c r="AP447" s="34"/>
      <c r="AQ447" s="34"/>
      <c r="AR447" s="34"/>
      <c r="AS447" s="34"/>
      <c r="AT447" s="34"/>
    </row>
    <row r="448" spans="1:46" ht="38.25" x14ac:dyDescent="0.25">
      <c r="A448" s="18">
        <f t="shared" si="57"/>
        <v>51</v>
      </c>
      <c r="B448" s="18" t="s">
        <v>1606</v>
      </c>
      <c r="C448" s="18" t="s">
        <v>1404</v>
      </c>
      <c r="D448" s="18" t="s">
        <v>63</v>
      </c>
      <c r="E448" s="18" t="s">
        <v>63</v>
      </c>
      <c r="F448" s="18" t="s">
        <v>1582</v>
      </c>
      <c r="G448" s="18" t="s">
        <v>1583</v>
      </c>
      <c r="H448" s="18" t="s">
        <v>1607</v>
      </c>
      <c r="I448" s="18" t="s">
        <v>56</v>
      </c>
      <c r="J448" s="18" t="s">
        <v>57</v>
      </c>
      <c r="K448" s="25" t="s">
        <v>1604</v>
      </c>
      <c r="L448" s="26"/>
      <c r="M448" s="26"/>
      <c r="N448" s="26"/>
      <c r="O448" s="26"/>
      <c r="P448" s="235" t="s">
        <v>1608</v>
      </c>
      <c r="Q448" s="89"/>
      <c r="R448" s="35">
        <v>1</v>
      </c>
      <c r="S448" s="218">
        <v>7210000</v>
      </c>
      <c r="T448" s="18"/>
      <c r="U448" s="18" t="s">
        <v>1586</v>
      </c>
      <c r="V448" s="51" t="s">
        <v>1587</v>
      </c>
      <c r="W448" s="184" t="s">
        <v>1587</v>
      </c>
      <c r="X448" s="40" t="s">
        <v>1609</v>
      </c>
      <c r="Y448" s="50">
        <v>2022016</v>
      </c>
      <c r="Z448" s="37">
        <v>7000000</v>
      </c>
      <c r="AA448" s="110"/>
      <c r="AB448" s="40"/>
      <c r="AC448" s="18"/>
      <c r="AD448" s="34"/>
      <c r="AE448" s="222">
        <f t="shared" si="56"/>
        <v>210000</v>
      </c>
      <c r="AF448" s="90"/>
      <c r="AG448" s="256"/>
      <c r="AH448" s="256"/>
      <c r="AI448" s="124"/>
      <c r="AJ448" s="256"/>
      <c r="AK448" s="256"/>
      <c r="AL448" s="256"/>
      <c r="AM448" s="256"/>
      <c r="AN448" s="34"/>
      <c r="AO448" s="34"/>
      <c r="AP448" s="34"/>
      <c r="AQ448" s="34"/>
      <c r="AR448" s="34"/>
      <c r="AS448" s="34"/>
      <c r="AT448" s="34"/>
    </row>
    <row r="449" spans="1:46" ht="140.25" x14ac:dyDescent="0.25">
      <c r="A449" s="18">
        <f t="shared" si="57"/>
        <v>52</v>
      </c>
      <c r="B449" s="18" t="s">
        <v>1610</v>
      </c>
      <c r="C449" s="18" t="s">
        <v>1404</v>
      </c>
      <c r="D449" s="18" t="s">
        <v>63</v>
      </c>
      <c r="E449" s="18" t="s">
        <v>63</v>
      </c>
      <c r="F449" s="18" t="s">
        <v>1582</v>
      </c>
      <c r="G449" s="18" t="s">
        <v>1583</v>
      </c>
      <c r="H449" s="18" t="s">
        <v>1607</v>
      </c>
      <c r="I449" s="18" t="s">
        <v>56</v>
      </c>
      <c r="J449" s="18" t="s">
        <v>57</v>
      </c>
      <c r="K449" s="25">
        <v>93141506</v>
      </c>
      <c r="L449" s="34"/>
      <c r="M449" s="34"/>
      <c r="N449" s="34"/>
      <c r="O449" s="34"/>
      <c r="P449" s="235" t="s">
        <v>1611</v>
      </c>
      <c r="Q449" s="89">
        <v>9426428.5714285709</v>
      </c>
      <c r="R449" s="18">
        <v>1</v>
      </c>
      <c r="S449" s="37">
        <f>65985000-2346902</f>
        <v>63638098</v>
      </c>
      <c r="T449" s="18"/>
      <c r="U449" s="230" t="s">
        <v>212</v>
      </c>
      <c r="V449" s="228">
        <v>43294</v>
      </c>
      <c r="W449" s="184">
        <v>7</v>
      </c>
      <c r="X449" s="40"/>
      <c r="Y449" s="50"/>
      <c r="Z449" s="37"/>
      <c r="AA449" s="110" t="s">
        <v>1612</v>
      </c>
      <c r="AB449" s="40"/>
      <c r="AC449" s="18"/>
      <c r="AD449" s="34"/>
      <c r="AE449" s="222">
        <f t="shared" si="56"/>
        <v>63638098</v>
      </c>
      <c r="AF449" s="90"/>
      <c r="AG449" s="256"/>
      <c r="AH449" s="256"/>
      <c r="AI449" s="124"/>
      <c r="AJ449" s="256"/>
      <c r="AK449" s="256"/>
      <c r="AL449" s="256"/>
      <c r="AM449" s="256"/>
      <c r="AN449" s="34"/>
      <c r="AO449" s="34"/>
      <c r="AP449" s="110" t="s">
        <v>1613</v>
      </c>
      <c r="AQ449" s="50">
        <v>43215</v>
      </c>
      <c r="AR449" s="34" t="s">
        <v>214</v>
      </c>
      <c r="AS449" s="50">
        <v>43215</v>
      </c>
      <c r="AT449" s="236"/>
    </row>
    <row r="450" spans="1:46" ht="76.5" x14ac:dyDescent="0.25">
      <c r="A450" s="18">
        <f t="shared" si="57"/>
        <v>53</v>
      </c>
      <c r="B450" s="18" t="s">
        <v>1614</v>
      </c>
      <c r="C450" s="18" t="s">
        <v>1404</v>
      </c>
      <c r="D450" s="18" t="s">
        <v>63</v>
      </c>
      <c r="E450" s="18" t="s">
        <v>63</v>
      </c>
      <c r="F450" s="18" t="s">
        <v>1582</v>
      </c>
      <c r="G450" s="18" t="s">
        <v>1615</v>
      </c>
      <c r="H450" s="18" t="s">
        <v>1616</v>
      </c>
      <c r="I450" s="18" t="s">
        <v>56</v>
      </c>
      <c r="J450" s="18" t="s">
        <v>57</v>
      </c>
      <c r="K450" s="25" t="s">
        <v>1617</v>
      </c>
      <c r="L450" s="26"/>
      <c r="M450" s="26"/>
      <c r="N450" s="26"/>
      <c r="O450" s="26"/>
      <c r="P450" s="235" t="str">
        <f>[3]Hoja1!$D$19</f>
        <v>Contratar el suministro de dotación del vestido labor y calzado para los funcionarios de la Caja de la Vivienda Popular durante la vigencia 2018 a través del sistema de bonos, vales o tarjetas canjeables.</v>
      </c>
      <c r="Q450" s="89">
        <v>2000000</v>
      </c>
      <c r="R450" s="35">
        <v>1</v>
      </c>
      <c r="S450" s="218">
        <v>24000000</v>
      </c>
      <c r="T450" s="18" t="s">
        <v>1618</v>
      </c>
      <c r="U450" s="18" t="str">
        <f>[3]Hoja1!$B$21</f>
        <v>Selección abreviada de menor cuantia</v>
      </c>
      <c r="V450" s="228">
        <v>43150</v>
      </c>
      <c r="W450" s="184">
        <v>12</v>
      </c>
      <c r="X450" s="40" t="s">
        <v>1619</v>
      </c>
      <c r="Y450" s="50">
        <v>43153</v>
      </c>
      <c r="Z450" s="37">
        <v>22920884</v>
      </c>
      <c r="AA450" s="110"/>
      <c r="AB450" s="40"/>
      <c r="AC450" s="18"/>
      <c r="AD450" s="34"/>
      <c r="AE450" s="222">
        <f t="shared" si="56"/>
        <v>1079116</v>
      </c>
      <c r="AF450" s="90"/>
      <c r="AG450" s="256"/>
      <c r="AH450" s="256"/>
      <c r="AI450" s="124"/>
      <c r="AJ450" s="256"/>
      <c r="AK450" s="256"/>
      <c r="AL450" s="256"/>
      <c r="AM450" s="256"/>
      <c r="AN450" s="34"/>
      <c r="AO450" s="34"/>
      <c r="AP450" s="34" t="s">
        <v>1620</v>
      </c>
      <c r="AQ450" s="34"/>
      <c r="AR450" s="34"/>
      <c r="AS450" s="34"/>
      <c r="AT450" s="34"/>
    </row>
    <row r="451" spans="1:46" ht="89.25" x14ac:dyDescent="0.25">
      <c r="A451" s="18">
        <f t="shared" si="57"/>
        <v>54</v>
      </c>
      <c r="B451" s="18" t="s">
        <v>1621</v>
      </c>
      <c r="C451" s="18" t="s">
        <v>1404</v>
      </c>
      <c r="D451" s="18" t="s">
        <v>63</v>
      </c>
      <c r="E451" s="18" t="s">
        <v>63</v>
      </c>
      <c r="F451" s="18" t="s">
        <v>1582</v>
      </c>
      <c r="G451" s="18" t="s">
        <v>1615</v>
      </c>
      <c r="H451" s="18" t="s">
        <v>1622</v>
      </c>
      <c r="I451" s="18" t="s">
        <v>56</v>
      </c>
      <c r="J451" s="18" t="s">
        <v>57</v>
      </c>
      <c r="K451" s="25">
        <v>85122200</v>
      </c>
      <c r="L451" s="26"/>
      <c r="M451" s="26"/>
      <c r="N451" s="26"/>
      <c r="O451" s="26"/>
      <c r="P451" s="89" t="s">
        <v>1623</v>
      </c>
      <c r="Q451" s="37">
        <f>15954210-7000000-2954210</f>
        <v>6000000</v>
      </c>
      <c r="R451" s="35"/>
      <c r="S451" s="37">
        <f>15954210-7000000-2954210</f>
        <v>6000000</v>
      </c>
      <c r="T451" s="18" t="s">
        <v>1624</v>
      </c>
      <c r="U451" s="18" t="s">
        <v>1625</v>
      </c>
      <c r="V451" s="228">
        <v>43235</v>
      </c>
      <c r="W451" s="184">
        <v>7</v>
      </c>
      <c r="X451" s="40" t="s">
        <v>1626</v>
      </c>
      <c r="Y451" s="50">
        <v>43227</v>
      </c>
      <c r="Z451" s="37">
        <v>5118446</v>
      </c>
      <c r="AA451" s="110" t="s">
        <v>1627</v>
      </c>
      <c r="AB451" s="40"/>
      <c r="AC451" s="18"/>
      <c r="AD451" s="34"/>
      <c r="AE451" s="222">
        <f t="shared" si="56"/>
        <v>881554</v>
      </c>
      <c r="AF451" s="90"/>
      <c r="AG451" s="256"/>
      <c r="AH451" s="256"/>
      <c r="AI451" s="124"/>
      <c r="AJ451" s="256"/>
      <c r="AK451" s="256"/>
      <c r="AL451" s="256"/>
      <c r="AM451" s="256"/>
      <c r="AN451" s="34"/>
      <c r="AO451" s="34"/>
      <c r="AP451" s="34" t="s">
        <v>1628</v>
      </c>
      <c r="AQ451" s="50">
        <v>43227</v>
      </c>
      <c r="AR451" s="34" t="s">
        <v>19</v>
      </c>
      <c r="AS451" s="50">
        <v>43227</v>
      </c>
      <c r="AT451" s="180"/>
    </row>
    <row r="452" spans="1:46" ht="76.5" x14ac:dyDescent="0.25">
      <c r="A452" s="18">
        <f t="shared" si="57"/>
        <v>55</v>
      </c>
      <c r="B452" s="18" t="s">
        <v>1629</v>
      </c>
      <c r="C452" s="18" t="s">
        <v>1404</v>
      </c>
      <c r="D452" s="18" t="s">
        <v>63</v>
      </c>
      <c r="E452" s="18" t="s">
        <v>63</v>
      </c>
      <c r="F452" s="18" t="s">
        <v>1582</v>
      </c>
      <c r="G452" s="18" t="s">
        <v>1615</v>
      </c>
      <c r="H452" s="18" t="s">
        <v>1622</v>
      </c>
      <c r="I452" s="18" t="s">
        <v>56</v>
      </c>
      <c r="J452" s="18" t="s">
        <v>57</v>
      </c>
      <c r="K452" s="25">
        <v>46180000</v>
      </c>
      <c r="L452" s="26"/>
      <c r="M452" s="26"/>
      <c r="N452" s="26"/>
      <c r="O452" s="26"/>
      <c r="P452" s="235" t="s">
        <v>1630</v>
      </c>
      <c r="Q452" s="218">
        <f>21149790-9149790-9000000</f>
        <v>3000000</v>
      </c>
      <c r="R452" s="35"/>
      <c r="S452" s="218">
        <f>21149790-9149790-9000000</f>
        <v>3000000</v>
      </c>
      <c r="T452" s="18"/>
      <c r="U452" s="18" t="s">
        <v>1625</v>
      </c>
      <c r="V452" s="228">
        <v>43266</v>
      </c>
      <c r="W452" s="184">
        <v>2</v>
      </c>
      <c r="X452" s="40"/>
      <c r="Y452" s="50"/>
      <c r="Z452" s="37"/>
      <c r="AA452" s="110" t="s">
        <v>1631</v>
      </c>
      <c r="AB452" s="40"/>
      <c r="AC452" s="18"/>
      <c r="AD452" s="34"/>
      <c r="AE452" s="222">
        <f t="shared" si="56"/>
        <v>3000000</v>
      </c>
      <c r="AF452" s="90"/>
      <c r="AG452" s="256"/>
      <c r="AH452" s="256"/>
      <c r="AI452" s="124"/>
      <c r="AJ452" s="256"/>
      <c r="AK452" s="256"/>
      <c r="AL452" s="256"/>
      <c r="AM452" s="256"/>
      <c r="AN452" s="34"/>
      <c r="AO452" s="34"/>
      <c r="AP452" s="34" t="s">
        <v>1632</v>
      </c>
      <c r="AQ452" s="34"/>
      <c r="AR452" s="34"/>
      <c r="AS452" s="34"/>
      <c r="AT452" s="34"/>
    </row>
    <row r="453" spans="1:46" ht="63.75" x14ac:dyDescent="0.25">
      <c r="A453" s="18">
        <f t="shared" si="57"/>
        <v>56</v>
      </c>
      <c r="B453" s="18" t="s">
        <v>1633</v>
      </c>
      <c r="C453" s="18" t="s">
        <v>1404</v>
      </c>
      <c r="D453" s="18" t="s">
        <v>63</v>
      </c>
      <c r="E453" s="18" t="s">
        <v>63</v>
      </c>
      <c r="F453" s="18" t="s">
        <v>1582</v>
      </c>
      <c r="G453" s="18" t="s">
        <v>1615</v>
      </c>
      <c r="H453" s="18" t="s">
        <v>1622</v>
      </c>
      <c r="I453" s="18" t="s">
        <v>56</v>
      </c>
      <c r="J453" s="18" t="s">
        <v>57</v>
      </c>
      <c r="K453" s="25">
        <v>46140000</v>
      </c>
      <c r="L453" s="26"/>
      <c r="M453" s="26"/>
      <c r="N453" s="26"/>
      <c r="O453" s="26"/>
      <c r="P453" s="235" t="s">
        <v>1634</v>
      </c>
      <c r="Q453" s="218">
        <f>4000000-2000000</f>
        <v>2000000</v>
      </c>
      <c r="R453" s="35"/>
      <c r="S453" s="218">
        <f>4000000-2000000</f>
        <v>2000000</v>
      </c>
      <c r="T453" s="18"/>
      <c r="U453" s="18" t="s">
        <v>1625</v>
      </c>
      <c r="V453" s="228">
        <v>43335</v>
      </c>
      <c r="W453" s="184">
        <v>2</v>
      </c>
      <c r="X453" s="40"/>
      <c r="Y453" s="50"/>
      <c r="Z453" s="37"/>
      <c r="AA453" s="110" t="s">
        <v>1635</v>
      </c>
      <c r="AB453" s="40"/>
      <c r="AC453" s="18"/>
      <c r="AD453" s="34"/>
      <c r="AE453" s="222">
        <f t="shared" si="56"/>
        <v>2000000</v>
      </c>
      <c r="AF453" s="90"/>
      <c r="AG453" s="256"/>
      <c r="AH453" s="256"/>
      <c r="AI453" s="124"/>
      <c r="AJ453" s="256"/>
      <c r="AK453" s="256"/>
      <c r="AL453" s="256"/>
      <c r="AM453" s="256"/>
      <c r="AN453" s="34"/>
      <c r="AO453" s="34"/>
      <c r="AP453" s="34" t="s">
        <v>1632</v>
      </c>
      <c r="AQ453" s="34"/>
      <c r="AR453" s="34"/>
      <c r="AS453" s="34"/>
      <c r="AT453" s="34"/>
    </row>
    <row r="454" spans="1:46" ht="63.75" x14ac:dyDescent="0.25">
      <c r="A454" s="18">
        <f t="shared" si="57"/>
        <v>57</v>
      </c>
      <c r="B454" s="18" t="s">
        <v>1636</v>
      </c>
      <c r="C454" s="18" t="s">
        <v>1404</v>
      </c>
      <c r="D454" s="18" t="s">
        <v>63</v>
      </c>
      <c r="E454" s="18" t="s">
        <v>63</v>
      </c>
      <c r="F454" s="18" t="s">
        <v>1582</v>
      </c>
      <c r="G454" s="18" t="s">
        <v>1615</v>
      </c>
      <c r="H454" s="18" t="s">
        <v>1637</v>
      </c>
      <c r="I454" s="18" t="s">
        <v>56</v>
      </c>
      <c r="J454" s="18" t="s">
        <v>57</v>
      </c>
      <c r="K454" s="25">
        <v>44120000</v>
      </c>
      <c r="L454" s="26"/>
      <c r="M454" s="26"/>
      <c r="N454" s="26"/>
      <c r="O454" s="26"/>
      <c r="P454" s="235" t="s">
        <v>1638</v>
      </c>
      <c r="Q454" s="218">
        <v>27216794</v>
      </c>
      <c r="R454" s="35"/>
      <c r="S454" s="218">
        <v>27216794</v>
      </c>
      <c r="T454" s="18" t="s">
        <v>1618</v>
      </c>
      <c r="U454" s="18" t="s">
        <v>63</v>
      </c>
      <c r="V454" s="228">
        <v>43157</v>
      </c>
      <c r="W454" s="92">
        <v>8</v>
      </c>
      <c r="X454" s="40" t="s">
        <v>1639</v>
      </c>
      <c r="Y454" s="228">
        <v>43158</v>
      </c>
      <c r="Z454" s="37">
        <v>16000000</v>
      </c>
      <c r="AA454" s="110"/>
      <c r="AB454" s="40"/>
      <c r="AC454" s="18"/>
      <c r="AD454" s="34"/>
      <c r="AE454" s="222">
        <f t="shared" si="56"/>
        <v>11216794</v>
      </c>
      <c r="AF454" s="90"/>
      <c r="AG454" s="256"/>
      <c r="AH454" s="256"/>
      <c r="AI454" s="124"/>
      <c r="AJ454" s="256"/>
      <c r="AK454" s="256"/>
      <c r="AL454" s="256"/>
      <c r="AM454" s="256"/>
      <c r="AN454" s="34"/>
      <c r="AO454" s="34"/>
      <c r="AP454" s="34" t="s">
        <v>1640</v>
      </c>
      <c r="AQ454" s="34"/>
      <c r="AR454" s="34"/>
      <c r="AS454" s="34"/>
      <c r="AT454" s="34"/>
    </row>
    <row r="455" spans="1:46" ht="38.25" x14ac:dyDescent="0.25">
      <c r="A455" s="18">
        <f t="shared" si="57"/>
        <v>58</v>
      </c>
      <c r="B455" s="18" t="s">
        <v>1641</v>
      </c>
      <c r="C455" s="18" t="s">
        <v>1404</v>
      </c>
      <c r="D455" s="18" t="s">
        <v>63</v>
      </c>
      <c r="E455" s="18" t="s">
        <v>63</v>
      </c>
      <c r="F455" s="18" t="s">
        <v>1582</v>
      </c>
      <c r="G455" s="18" t="s">
        <v>1615</v>
      </c>
      <c r="H455" s="18" t="s">
        <v>1642</v>
      </c>
      <c r="I455" s="18" t="s">
        <v>56</v>
      </c>
      <c r="J455" s="18" t="s">
        <v>57</v>
      </c>
      <c r="K455" s="25">
        <v>78181700</v>
      </c>
      <c r="L455" s="26"/>
      <c r="M455" s="26"/>
      <c r="N455" s="26"/>
      <c r="O455" s="26"/>
      <c r="P455" s="235" t="s">
        <v>1643</v>
      </c>
      <c r="Q455" s="218">
        <f>10900000-9900000</f>
        <v>1000000</v>
      </c>
      <c r="R455" s="35"/>
      <c r="S455" s="218">
        <f>10900000-9900000</f>
        <v>1000000</v>
      </c>
      <c r="T455" s="18"/>
      <c r="U455" s="18" t="s">
        <v>1625</v>
      </c>
      <c r="V455" s="228">
        <v>43276</v>
      </c>
      <c r="W455" s="184">
        <v>7</v>
      </c>
      <c r="X455" s="40"/>
      <c r="Y455" s="50"/>
      <c r="Z455" s="37"/>
      <c r="AA455" s="110"/>
      <c r="AB455" s="40"/>
      <c r="AC455" s="18"/>
      <c r="AD455" s="34"/>
      <c r="AE455" s="222">
        <f t="shared" si="56"/>
        <v>1000000</v>
      </c>
      <c r="AF455" s="90"/>
      <c r="AG455" s="256"/>
      <c r="AH455" s="256"/>
      <c r="AI455" s="124"/>
      <c r="AJ455" s="256"/>
      <c r="AK455" s="256"/>
      <c r="AL455" s="256"/>
      <c r="AM455" s="256"/>
      <c r="AN455" s="34"/>
      <c r="AO455" s="34"/>
      <c r="AP455" s="34" t="s">
        <v>1644</v>
      </c>
      <c r="AQ455" s="34"/>
      <c r="AR455" s="34"/>
      <c r="AS455" s="34"/>
      <c r="AT455" s="34"/>
    </row>
    <row r="456" spans="1:46" ht="51" x14ac:dyDescent="0.25">
      <c r="A456" s="18">
        <f t="shared" si="57"/>
        <v>59</v>
      </c>
      <c r="B456" s="18" t="s">
        <v>1645</v>
      </c>
      <c r="C456" s="18" t="s">
        <v>1404</v>
      </c>
      <c r="D456" s="18" t="s">
        <v>63</v>
      </c>
      <c r="E456" s="18" t="s">
        <v>63</v>
      </c>
      <c r="F456" s="18" t="s">
        <v>1582</v>
      </c>
      <c r="G456" s="18" t="s">
        <v>1615</v>
      </c>
      <c r="H456" s="18" t="s">
        <v>1646</v>
      </c>
      <c r="I456" s="18" t="s">
        <v>56</v>
      </c>
      <c r="J456" s="18" t="s">
        <v>57</v>
      </c>
      <c r="K456" s="25">
        <v>44120000</v>
      </c>
      <c r="L456" s="26"/>
      <c r="M456" s="26"/>
      <c r="N456" s="26"/>
      <c r="O456" s="26"/>
      <c r="P456" s="235" t="s">
        <v>210</v>
      </c>
      <c r="Q456" s="218">
        <v>28840000</v>
      </c>
      <c r="R456" s="35"/>
      <c r="S456" s="218">
        <v>28840000</v>
      </c>
      <c r="T456" s="18"/>
      <c r="U456" s="18" t="s">
        <v>212</v>
      </c>
      <c r="V456" s="228">
        <v>43244</v>
      </c>
      <c r="W456" s="184">
        <v>10</v>
      </c>
      <c r="X456" s="40"/>
      <c r="Y456" s="50"/>
      <c r="Z456" s="37"/>
      <c r="AA456" s="110"/>
      <c r="AB456" s="40"/>
      <c r="AC456" s="18"/>
      <c r="AD456" s="34"/>
      <c r="AE456" s="222">
        <f t="shared" si="56"/>
        <v>28840000</v>
      </c>
      <c r="AF456" s="90"/>
      <c r="AG456" s="256"/>
      <c r="AH456" s="256"/>
      <c r="AI456" s="124"/>
      <c r="AJ456" s="256"/>
      <c r="AK456" s="256"/>
      <c r="AL456" s="256"/>
      <c r="AM456" s="256"/>
      <c r="AN456" s="34"/>
      <c r="AO456" s="34"/>
      <c r="AP456" s="34" t="s">
        <v>213</v>
      </c>
      <c r="AQ456" s="50">
        <v>43215</v>
      </c>
      <c r="AR456" s="34" t="s">
        <v>214</v>
      </c>
      <c r="AS456" s="50">
        <v>43215</v>
      </c>
      <c r="AT456" s="180"/>
    </row>
    <row r="457" spans="1:46" ht="38.25" x14ac:dyDescent="0.25">
      <c r="A457" s="18">
        <f t="shared" si="57"/>
        <v>60</v>
      </c>
      <c r="B457" s="18" t="s">
        <v>1647</v>
      </c>
      <c r="C457" s="18" t="s">
        <v>1404</v>
      </c>
      <c r="D457" s="18" t="s">
        <v>63</v>
      </c>
      <c r="E457" s="18" t="s">
        <v>63</v>
      </c>
      <c r="F457" s="18" t="s">
        <v>1582</v>
      </c>
      <c r="G457" s="18" t="s">
        <v>1615</v>
      </c>
      <c r="H457" s="18" t="s">
        <v>1646</v>
      </c>
      <c r="I457" s="18" t="s">
        <v>56</v>
      </c>
      <c r="J457" s="18" t="s">
        <v>57</v>
      </c>
      <c r="K457" s="25" t="s">
        <v>63</v>
      </c>
      <c r="L457" s="26"/>
      <c r="M457" s="26"/>
      <c r="N457" s="26"/>
      <c r="O457" s="26"/>
      <c r="P457" s="235" t="s">
        <v>1648</v>
      </c>
      <c r="Q457" s="218">
        <v>8240000</v>
      </c>
      <c r="R457" s="35"/>
      <c r="S457" s="218">
        <v>8240000</v>
      </c>
      <c r="T457" s="18" t="s">
        <v>63</v>
      </c>
      <c r="U457" s="51" t="s">
        <v>1649</v>
      </c>
      <c r="V457" s="51" t="s">
        <v>1587</v>
      </c>
      <c r="W457" s="184" t="s">
        <v>1587</v>
      </c>
      <c r="X457" s="40" t="s">
        <v>1650</v>
      </c>
      <c r="Y457" s="50">
        <v>43119</v>
      </c>
      <c r="Z457" s="37">
        <v>8000000</v>
      </c>
      <c r="AA457" s="110"/>
      <c r="AB457" s="40">
        <v>548</v>
      </c>
      <c r="AC457" s="18" t="s">
        <v>1651</v>
      </c>
      <c r="AD457" s="37">
        <v>8000000</v>
      </c>
      <c r="AE457" s="222">
        <f t="shared" si="56"/>
        <v>240000</v>
      </c>
      <c r="AF457" s="223"/>
      <c r="AG457" s="224"/>
      <c r="AH457" s="225"/>
      <c r="AI457" s="224"/>
      <c r="AJ457" s="226"/>
      <c r="AK457" s="226"/>
      <c r="AL457" s="225"/>
      <c r="AM457" s="225"/>
      <c r="AN457" s="34"/>
      <c r="AO457" s="34"/>
      <c r="AP457" s="34"/>
      <c r="AQ457" s="34"/>
      <c r="AR457" s="34"/>
      <c r="AS457" s="34"/>
      <c r="AT457" s="34"/>
    </row>
    <row r="458" spans="1:46" ht="140.25" x14ac:dyDescent="0.25">
      <c r="A458" s="18">
        <f t="shared" si="57"/>
        <v>61</v>
      </c>
      <c r="B458" s="18" t="s">
        <v>1652</v>
      </c>
      <c r="C458" s="18" t="s">
        <v>1404</v>
      </c>
      <c r="D458" s="18" t="s">
        <v>63</v>
      </c>
      <c r="E458" s="18" t="s">
        <v>63</v>
      </c>
      <c r="F458" s="18" t="s">
        <v>1582</v>
      </c>
      <c r="G458" s="18" t="s">
        <v>1583</v>
      </c>
      <c r="H458" s="18" t="s">
        <v>1653</v>
      </c>
      <c r="I458" s="18" t="s">
        <v>56</v>
      </c>
      <c r="J458" s="18" t="s">
        <v>57</v>
      </c>
      <c r="K458" s="25">
        <v>84131500</v>
      </c>
      <c r="L458" s="26"/>
      <c r="M458" s="26"/>
      <c r="N458" s="26"/>
      <c r="O458" s="26"/>
      <c r="P458" s="18" t="s">
        <v>1654</v>
      </c>
      <c r="Q458" s="89">
        <v>22933333.333333332</v>
      </c>
      <c r="R458" s="35">
        <v>1</v>
      </c>
      <c r="S458" s="218">
        <v>270860000</v>
      </c>
      <c r="T458" s="18"/>
      <c r="U458" s="18" t="s">
        <v>1655</v>
      </c>
      <c r="V458" s="228">
        <v>43235</v>
      </c>
      <c r="W458" s="184">
        <v>12</v>
      </c>
      <c r="X458" s="40"/>
      <c r="Y458" s="50"/>
      <c r="Z458" s="37"/>
      <c r="AA458" s="110"/>
      <c r="AB458" s="90"/>
      <c r="AC458" s="90"/>
      <c r="AD458" s="237"/>
      <c r="AE458" s="222">
        <f t="shared" si="56"/>
        <v>270860000</v>
      </c>
      <c r="AF458" s="90"/>
      <c r="AG458" s="256"/>
      <c r="AH458" s="256"/>
      <c r="AI458" s="124"/>
      <c r="AJ458" s="256"/>
      <c r="AK458" s="256"/>
      <c r="AL458" s="256"/>
      <c r="AM458" s="256"/>
      <c r="AN458" s="34"/>
      <c r="AO458" s="34"/>
      <c r="AP458" s="34"/>
      <c r="AQ458" s="34"/>
      <c r="AR458" s="34"/>
      <c r="AS458" s="34"/>
      <c r="AT458" s="34"/>
    </row>
    <row r="459" spans="1:46" ht="63.75" x14ac:dyDescent="0.25">
      <c r="A459" s="18">
        <f t="shared" si="57"/>
        <v>62</v>
      </c>
      <c r="B459" s="18" t="s">
        <v>1656</v>
      </c>
      <c r="C459" s="18" t="s">
        <v>1404</v>
      </c>
      <c r="D459" s="18" t="s">
        <v>63</v>
      </c>
      <c r="E459" s="18" t="s">
        <v>63</v>
      </c>
      <c r="F459" s="18" t="s">
        <v>1582</v>
      </c>
      <c r="G459" s="18" t="s">
        <v>1583</v>
      </c>
      <c r="H459" s="18" t="s">
        <v>1657</v>
      </c>
      <c r="I459" s="18" t="s">
        <v>56</v>
      </c>
      <c r="J459" s="18" t="s">
        <v>57</v>
      </c>
      <c r="K459" s="25">
        <v>81161601</v>
      </c>
      <c r="L459" s="26"/>
      <c r="M459" s="26"/>
      <c r="N459" s="26"/>
      <c r="O459" s="26"/>
      <c r="P459" s="18" t="s">
        <v>280</v>
      </c>
      <c r="Q459" s="89">
        <v>5606666.666666667</v>
      </c>
      <c r="R459" s="35">
        <v>1</v>
      </c>
      <c r="S459" s="37">
        <f>41345000-748900-6000000</f>
        <v>34596100</v>
      </c>
      <c r="T459" s="18" t="s">
        <v>1624</v>
      </c>
      <c r="U459" s="18" t="s">
        <v>212</v>
      </c>
      <c r="V459" s="228">
        <v>43174</v>
      </c>
      <c r="W459" s="184">
        <v>10</v>
      </c>
      <c r="X459" s="91" t="s">
        <v>1658</v>
      </c>
      <c r="Y459" s="238">
        <v>43203</v>
      </c>
      <c r="Z459" s="229">
        <v>33800000</v>
      </c>
      <c r="AA459" s="110"/>
      <c r="AB459" s="40"/>
      <c r="AC459" s="18"/>
      <c r="AD459" s="37"/>
      <c r="AE459" s="222">
        <f t="shared" si="56"/>
        <v>796100</v>
      </c>
      <c r="AF459" s="90"/>
      <c r="AG459" s="256"/>
      <c r="AH459" s="256"/>
      <c r="AI459" s="124"/>
      <c r="AJ459" s="256"/>
      <c r="AK459" s="256"/>
      <c r="AL459" s="256"/>
      <c r="AM459" s="256"/>
      <c r="AN459" s="34"/>
      <c r="AO459" s="34"/>
      <c r="AP459" s="34" t="s">
        <v>222</v>
      </c>
      <c r="AQ459" s="50">
        <v>43203</v>
      </c>
      <c r="AR459" s="34" t="s">
        <v>1659</v>
      </c>
      <c r="AS459" s="50">
        <v>43203</v>
      </c>
      <c r="AT459" s="34"/>
    </row>
    <row r="460" spans="1:46" ht="51" x14ac:dyDescent="0.25">
      <c r="A460" s="18">
        <f t="shared" si="57"/>
        <v>63</v>
      </c>
      <c r="B460" s="18" t="s">
        <v>1660</v>
      </c>
      <c r="C460" s="18" t="s">
        <v>1404</v>
      </c>
      <c r="D460" s="18" t="s">
        <v>63</v>
      </c>
      <c r="E460" s="18" t="s">
        <v>63</v>
      </c>
      <c r="F460" s="18" t="s">
        <v>1582</v>
      </c>
      <c r="G460" s="18" t="s">
        <v>1583</v>
      </c>
      <c r="H460" s="18" t="s">
        <v>1657</v>
      </c>
      <c r="I460" s="18" t="s">
        <v>56</v>
      </c>
      <c r="J460" s="18" t="s">
        <v>57</v>
      </c>
      <c r="K460" s="25" t="s">
        <v>1000</v>
      </c>
      <c r="L460" s="26"/>
      <c r="M460" s="26"/>
      <c r="N460" s="26"/>
      <c r="O460" s="26"/>
      <c r="P460" s="18" t="s">
        <v>1661</v>
      </c>
      <c r="Q460" s="218">
        <v>22751284</v>
      </c>
      <c r="R460" s="35">
        <v>1</v>
      </c>
      <c r="S460" s="218">
        <v>0</v>
      </c>
      <c r="T460" s="18" t="s">
        <v>63</v>
      </c>
      <c r="U460" s="18" t="s">
        <v>63</v>
      </c>
      <c r="V460" s="228">
        <v>43274</v>
      </c>
      <c r="W460" s="184">
        <v>6</v>
      </c>
      <c r="X460" s="40"/>
      <c r="Y460" s="50"/>
      <c r="Z460" s="37"/>
      <c r="AA460" s="110"/>
      <c r="AB460" s="40"/>
      <c r="AC460" s="18"/>
      <c r="AD460" s="37"/>
      <c r="AE460" s="222">
        <f t="shared" si="56"/>
        <v>0</v>
      </c>
      <c r="AF460" s="90"/>
      <c r="AG460" s="256"/>
      <c r="AH460" s="256"/>
      <c r="AI460" s="124"/>
      <c r="AJ460" s="256"/>
      <c r="AK460" s="256"/>
      <c r="AL460" s="256"/>
      <c r="AM460" s="256"/>
      <c r="AN460" s="34"/>
      <c r="AO460" s="34"/>
      <c r="AP460" s="34" t="s">
        <v>1662</v>
      </c>
      <c r="AQ460" s="34"/>
      <c r="AR460" s="34"/>
      <c r="AS460" s="34"/>
      <c r="AT460" s="34"/>
    </row>
    <row r="461" spans="1:46" ht="38.25" x14ac:dyDescent="0.25">
      <c r="A461" s="18">
        <f t="shared" si="57"/>
        <v>64</v>
      </c>
      <c r="B461" s="18" t="s">
        <v>1663</v>
      </c>
      <c r="C461" s="18" t="s">
        <v>1404</v>
      </c>
      <c r="D461" s="18" t="s">
        <v>63</v>
      </c>
      <c r="E461" s="18" t="s">
        <v>63</v>
      </c>
      <c r="F461" s="18" t="s">
        <v>1582</v>
      </c>
      <c r="G461" s="18" t="s">
        <v>1583</v>
      </c>
      <c r="H461" s="18" t="s">
        <v>1657</v>
      </c>
      <c r="I461" s="18" t="s">
        <v>56</v>
      </c>
      <c r="J461" s="18" t="s">
        <v>57</v>
      </c>
      <c r="K461" s="25">
        <v>83111603</v>
      </c>
      <c r="L461" s="26"/>
      <c r="M461" s="26"/>
      <c r="N461" s="26"/>
      <c r="O461" s="26"/>
      <c r="P461" s="18" t="s">
        <v>1664</v>
      </c>
      <c r="Q461" s="89">
        <v>409090.90909090912</v>
      </c>
      <c r="R461" s="35">
        <v>1</v>
      </c>
      <c r="S461" s="218">
        <v>11865600</v>
      </c>
      <c r="T461" s="18" t="s">
        <v>1618</v>
      </c>
      <c r="U461" s="18" t="s">
        <v>1665</v>
      </c>
      <c r="V461" s="51">
        <v>43117</v>
      </c>
      <c r="W461" s="184">
        <v>12</v>
      </c>
      <c r="X461" s="40" t="s">
        <v>1666</v>
      </c>
      <c r="Y461" s="51">
        <v>43117</v>
      </c>
      <c r="Z461" s="218">
        <v>11865600</v>
      </c>
      <c r="AA461" s="110"/>
      <c r="AB461" s="40">
        <v>521</v>
      </c>
      <c r="AC461" s="18" t="s">
        <v>1418</v>
      </c>
      <c r="AD461" s="37">
        <v>11865600</v>
      </c>
      <c r="AE461" s="222">
        <f t="shared" si="56"/>
        <v>0</v>
      </c>
      <c r="AF461" s="223">
        <v>488</v>
      </c>
      <c r="AG461" s="224" t="s">
        <v>1442</v>
      </c>
      <c r="AH461" s="225">
        <v>654012</v>
      </c>
      <c r="AI461" s="224" t="s">
        <v>1667</v>
      </c>
      <c r="AJ461" s="226">
        <v>43506</v>
      </c>
      <c r="AK461" s="226"/>
      <c r="AL461" s="225">
        <v>0</v>
      </c>
      <c r="AM461" s="225">
        <v>654012</v>
      </c>
      <c r="AN461" s="34"/>
      <c r="AO461" s="34"/>
      <c r="AP461" s="34"/>
      <c r="AQ461" s="34"/>
      <c r="AR461" s="34"/>
      <c r="AS461" s="34"/>
      <c r="AT461" s="34"/>
    </row>
    <row r="462" spans="1:46" ht="38.25" x14ac:dyDescent="0.25">
      <c r="A462" s="18">
        <f t="shared" si="57"/>
        <v>65</v>
      </c>
      <c r="B462" s="18" t="s">
        <v>1668</v>
      </c>
      <c r="C462" s="18" t="s">
        <v>1404</v>
      </c>
      <c r="D462" s="18" t="s">
        <v>63</v>
      </c>
      <c r="E462" s="18" t="s">
        <v>63</v>
      </c>
      <c r="F462" s="18" t="s">
        <v>1582</v>
      </c>
      <c r="G462" s="18" t="s">
        <v>1583</v>
      </c>
      <c r="H462" s="18" t="s">
        <v>1657</v>
      </c>
      <c r="I462" s="18" t="s">
        <v>56</v>
      </c>
      <c r="J462" s="18" t="s">
        <v>57</v>
      </c>
      <c r="K462" s="25" t="s">
        <v>1604</v>
      </c>
      <c r="L462" s="26"/>
      <c r="M462" s="26"/>
      <c r="N462" s="26"/>
      <c r="O462" s="26"/>
      <c r="P462" s="235" t="s">
        <v>1648</v>
      </c>
      <c r="Q462" s="89">
        <v>11520000</v>
      </c>
      <c r="R462" s="35">
        <v>1</v>
      </c>
      <c r="S462" s="37">
        <f>4635000-4454800</f>
        <v>180200</v>
      </c>
      <c r="T462" s="18" t="s">
        <v>63</v>
      </c>
      <c r="U462" s="18" t="s">
        <v>1649</v>
      </c>
      <c r="V462" s="51" t="s">
        <v>1587</v>
      </c>
      <c r="W462" s="184" t="s">
        <v>1587</v>
      </c>
      <c r="X462" s="40" t="s">
        <v>1669</v>
      </c>
      <c r="Y462" s="50">
        <v>43119</v>
      </c>
      <c r="Z462" s="37">
        <f>4500000-4454800</f>
        <v>45200</v>
      </c>
      <c r="AA462" s="110"/>
      <c r="AB462" s="40">
        <v>549</v>
      </c>
      <c r="AC462" s="18" t="s">
        <v>1651</v>
      </c>
      <c r="AD462" s="37">
        <f>4500000-4454800</f>
        <v>45200</v>
      </c>
      <c r="AE462" s="222">
        <f t="shared" ref="AE462:AE483" si="58">S462-Z462</f>
        <v>135000</v>
      </c>
      <c r="AF462" s="223"/>
      <c r="AG462" s="224"/>
      <c r="AH462" s="225"/>
      <c r="AI462" s="224"/>
      <c r="AJ462" s="226"/>
      <c r="AK462" s="226"/>
      <c r="AL462" s="225"/>
      <c r="AM462" s="225"/>
      <c r="AN462" s="34"/>
      <c r="AO462" s="34"/>
      <c r="AP462" s="34" t="s">
        <v>1670</v>
      </c>
      <c r="AQ462" s="34"/>
      <c r="AR462" s="34"/>
      <c r="AS462" s="34"/>
      <c r="AT462" s="34"/>
    </row>
    <row r="463" spans="1:46" ht="178.5" x14ac:dyDescent="0.25">
      <c r="A463" s="18">
        <f>A462+1</f>
        <v>66</v>
      </c>
      <c r="B463" s="18" t="s">
        <v>1671</v>
      </c>
      <c r="C463" s="18" t="s">
        <v>1404</v>
      </c>
      <c r="D463" s="18" t="s">
        <v>63</v>
      </c>
      <c r="E463" s="18" t="s">
        <v>63</v>
      </c>
      <c r="F463" s="18" t="s">
        <v>1582</v>
      </c>
      <c r="G463" s="18" t="s">
        <v>1583</v>
      </c>
      <c r="H463" s="18" t="s">
        <v>1657</v>
      </c>
      <c r="I463" s="18" t="s">
        <v>56</v>
      </c>
      <c r="J463" s="18" t="s">
        <v>57</v>
      </c>
      <c r="K463" s="25">
        <v>81111500</v>
      </c>
      <c r="L463" s="26"/>
      <c r="M463" s="26"/>
      <c r="N463" s="26"/>
      <c r="O463" s="26"/>
      <c r="P463" s="235" t="s">
        <v>1672</v>
      </c>
      <c r="Q463" s="89"/>
      <c r="R463" s="35">
        <v>1</v>
      </c>
      <c r="S463" s="218">
        <v>0</v>
      </c>
      <c r="T463" s="18"/>
      <c r="U463" s="18" t="s">
        <v>1025</v>
      </c>
      <c r="V463" s="238">
        <v>43229</v>
      </c>
      <c r="W463" s="92">
        <v>12</v>
      </c>
      <c r="X463" s="40"/>
      <c r="Y463" s="50"/>
      <c r="Z463" s="37"/>
      <c r="AA463" s="110"/>
      <c r="AB463" s="40"/>
      <c r="AC463" s="18"/>
      <c r="AD463" s="34"/>
      <c r="AE463" s="222">
        <f t="shared" si="58"/>
        <v>0</v>
      </c>
      <c r="AF463" s="90"/>
      <c r="AG463" s="256"/>
      <c r="AH463" s="256"/>
      <c r="AI463" s="124"/>
      <c r="AJ463" s="256"/>
      <c r="AK463" s="256"/>
      <c r="AL463" s="256"/>
      <c r="AM463" s="256"/>
      <c r="AN463" s="34"/>
      <c r="AO463" s="34"/>
      <c r="AP463" s="34" t="s">
        <v>1673</v>
      </c>
      <c r="AQ463" s="34"/>
      <c r="AR463" s="34"/>
      <c r="AS463" s="34"/>
      <c r="AT463" s="34"/>
    </row>
    <row r="464" spans="1:46" ht="25.5" x14ac:dyDescent="0.25">
      <c r="A464" s="18">
        <f t="shared" ref="A464:A496" si="59">A463+1</f>
        <v>67</v>
      </c>
      <c r="B464" s="18" t="s">
        <v>1674</v>
      </c>
      <c r="C464" s="18" t="s">
        <v>1404</v>
      </c>
      <c r="D464" s="18" t="s">
        <v>63</v>
      </c>
      <c r="E464" s="18" t="s">
        <v>63</v>
      </c>
      <c r="F464" s="18" t="s">
        <v>1582</v>
      </c>
      <c r="G464" s="18" t="s">
        <v>1583</v>
      </c>
      <c r="H464" s="18" t="s">
        <v>1657</v>
      </c>
      <c r="I464" s="18" t="s">
        <v>56</v>
      </c>
      <c r="J464" s="18" t="s">
        <v>57</v>
      </c>
      <c r="K464" s="25">
        <v>83111801</v>
      </c>
      <c r="L464" s="26"/>
      <c r="M464" s="26"/>
      <c r="N464" s="26"/>
      <c r="O464" s="26"/>
      <c r="P464" s="235" t="s">
        <v>1675</v>
      </c>
      <c r="Q464" s="89"/>
      <c r="R464" s="35">
        <v>1</v>
      </c>
      <c r="S464" s="218">
        <v>0</v>
      </c>
      <c r="T464" s="18"/>
      <c r="U464" s="51" t="s">
        <v>1625</v>
      </c>
      <c r="V464" s="51" t="s">
        <v>1587</v>
      </c>
      <c r="W464" s="184" t="s">
        <v>1587</v>
      </c>
      <c r="X464" s="40"/>
      <c r="Y464" s="50"/>
      <c r="Z464" s="37"/>
      <c r="AA464" s="110"/>
      <c r="AB464" s="40"/>
      <c r="AC464" s="18"/>
      <c r="AD464" s="34"/>
      <c r="AE464" s="222">
        <f t="shared" si="58"/>
        <v>0</v>
      </c>
      <c r="AF464" s="40"/>
      <c r="AG464" s="18"/>
      <c r="AH464" s="18"/>
      <c r="AI464" s="18"/>
      <c r="AJ464" s="34"/>
      <c r="AK464" s="34"/>
      <c r="AL464" s="34"/>
      <c r="AM464" s="34"/>
      <c r="AN464" s="34"/>
      <c r="AO464" s="34"/>
      <c r="AP464" s="34" t="s">
        <v>1676</v>
      </c>
      <c r="AQ464" s="34"/>
      <c r="AR464" s="34"/>
      <c r="AS464" s="34"/>
      <c r="AT464" s="34"/>
    </row>
    <row r="465" spans="1:46" ht="25.5" x14ac:dyDescent="0.25">
      <c r="A465" s="18">
        <f t="shared" si="59"/>
        <v>68</v>
      </c>
      <c r="B465" s="18" t="s">
        <v>1677</v>
      </c>
      <c r="C465" s="18" t="s">
        <v>1404</v>
      </c>
      <c r="D465" s="18" t="s">
        <v>63</v>
      </c>
      <c r="E465" s="18" t="s">
        <v>63</v>
      </c>
      <c r="F465" s="18" t="s">
        <v>1582</v>
      </c>
      <c r="G465" s="18" t="s">
        <v>1583</v>
      </c>
      <c r="H465" s="18" t="s">
        <v>1657</v>
      </c>
      <c r="I465" s="18" t="s">
        <v>56</v>
      </c>
      <c r="J465" s="18" t="s">
        <v>57</v>
      </c>
      <c r="K465" s="25">
        <v>72101500</v>
      </c>
      <c r="L465" s="26"/>
      <c r="M465" s="26"/>
      <c r="N465" s="26"/>
      <c r="O465" s="26"/>
      <c r="P465" s="235" t="s">
        <v>1678</v>
      </c>
      <c r="Q465" s="89"/>
      <c r="R465" s="35">
        <v>1</v>
      </c>
      <c r="S465" s="218">
        <v>1792100</v>
      </c>
      <c r="T465" s="18"/>
      <c r="U465" s="18" t="s">
        <v>190</v>
      </c>
      <c r="V465" s="228">
        <v>43279</v>
      </c>
      <c r="W465" s="184">
        <v>2</v>
      </c>
      <c r="X465" s="40"/>
      <c r="Y465" s="50"/>
      <c r="Z465" s="37"/>
      <c r="AA465" s="110"/>
      <c r="AB465" s="40"/>
      <c r="AC465" s="18"/>
      <c r="AD465" s="34"/>
      <c r="AE465" s="222">
        <f t="shared" si="58"/>
        <v>1792100</v>
      </c>
      <c r="AF465" s="40"/>
      <c r="AG465" s="18"/>
      <c r="AH465" s="18"/>
      <c r="AI465" s="18"/>
      <c r="AJ465" s="34"/>
      <c r="AK465" s="34"/>
      <c r="AL465" s="34"/>
      <c r="AM465" s="34"/>
      <c r="AN465" s="34"/>
      <c r="AO465" s="34"/>
      <c r="AP465" s="34"/>
      <c r="AQ465" s="34"/>
      <c r="AR465" s="34"/>
      <c r="AS465" s="34"/>
      <c r="AT465" s="34"/>
    </row>
    <row r="466" spans="1:46" ht="38.25" x14ac:dyDescent="0.25">
      <c r="A466" s="18">
        <f t="shared" si="59"/>
        <v>69</v>
      </c>
      <c r="B466" s="18" t="s">
        <v>1679</v>
      </c>
      <c r="C466" s="18" t="s">
        <v>1404</v>
      </c>
      <c r="D466" s="18" t="s">
        <v>63</v>
      </c>
      <c r="E466" s="18" t="s">
        <v>63</v>
      </c>
      <c r="F466" s="18" t="s">
        <v>1582</v>
      </c>
      <c r="G466" s="18" t="s">
        <v>1583</v>
      </c>
      <c r="H466" s="18" t="s">
        <v>1680</v>
      </c>
      <c r="I466" s="18" t="s">
        <v>56</v>
      </c>
      <c r="J466" s="18" t="s">
        <v>57</v>
      </c>
      <c r="K466" s="25" t="s">
        <v>63</v>
      </c>
      <c r="L466" s="26"/>
      <c r="M466" s="26"/>
      <c r="N466" s="26"/>
      <c r="O466" s="26"/>
      <c r="P466" s="235" t="s">
        <v>1648</v>
      </c>
      <c r="Q466" s="89">
        <v>686666.66666666663</v>
      </c>
      <c r="R466" s="35">
        <v>1</v>
      </c>
      <c r="S466" s="218">
        <v>8240000</v>
      </c>
      <c r="T466" s="18" t="s">
        <v>63</v>
      </c>
      <c r="U466" s="51" t="s">
        <v>1649</v>
      </c>
      <c r="V466" s="51" t="s">
        <v>1587</v>
      </c>
      <c r="W466" s="184">
        <v>12</v>
      </c>
      <c r="X466" s="40" t="s">
        <v>1681</v>
      </c>
      <c r="Y466" s="50">
        <v>43119</v>
      </c>
      <c r="Z466" s="37">
        <v>8000000</v>
      </c>
      <c r="AA466" s="110"/>
      <c r="AB466" s="108">
        <v>546</v>
      </c>
      <c r="AC466" s="18" t="s">
        <v>1651</v>
      </c>
      <c r="AD466" s="34">
        <v>0</v>
      </c>
      <c r="AE466" s="222">
        <f t="shared" si="58"/>
        <v>240000</v>
      </c>
      <c r="AF466" s="40"/>
      <c r="AG466" s="18"/>
      <c r="AH466" s="18"/>
      <c r="AI466" s="18"/>
      <c r="AJ466" s="34"/>
      <c r="AK466" s="34"/>
      <c r="AL466" s="34"/>
      <c r="AM466" s="34"/>
      <c r="AN466" s="34"/>
      <c r="AO466" s="34"/>
      <c r="AP466" s="34"/>
      <c r="AQ466" s="34"/>
      <c r="AR466" s="34"/>
      <c r="AS466" s="34"/>
      <c r="AT466" s="34"/>
    </row>
    <row r="467" spans="1:46" ht="51" x14ac:dyDescent="0.25">
      <c r="A467" s="18">
        <f t="shared" si="59"/>
        <v>70</v>
      </c>
      <c r="B467" s="18" t="s">
        <v>1682</v>
      </c>
      <c r="C467" s="18" t="s">
        <v>1404</v>
      </c>
      <c r="D467" s="18" t="s">
        <v>63</v>
      </c>
      <c r="E467" s="18" t="s">
        <v>63</v>
      </c>
      <c r="F467" s="18" t="s">
        <v>1582</v>
      </c>
      <c r="G467" s="18" t="s">
        <v>1583</v>
      </c>
      <c r="H467" s="18" t="s">
        <v>1680</v>
      </c>
      <c r="I467" s="18" t="s">
        <v>56</v>
      </c>
      <c r="J467" s="18" t="s">
        <v>57</v>
      </c>
      <c r="K467" s="25">
        <v>82121700</v>
      </c>
      <c r="L467" s="26"/>
      <c r="M467" s="26"/>
      <c r="N467" s="26"/>
      <c r="O467" s="26"/>
      <c r="P467" s="26" t="str">
        <f>'[4]FOR - 051'!$L$20</f>
        <v xml:space="preserve">
Prestación del servicio integral de fotocopiado, anillado y fotoplanos que requiera la Caja de la Vivienda Popular, de acuerdo con las especificaciones técnicas.</v>
      </c>
      <c r="Q467" s="89"/>
      <c r="R467" s="35">
        <v>1</v>
      </c>
      <c r="S467" s="218">
        <v>3174815</v>
      </c>
      <c r="T467" s="18"/>
      <c r="U467" s="51" t="s">
        <v>205</v>
      </c>
      <c r="V467" s="228">
        <v>43174</v>
      </c>
      <c r="W467" s="184">
        <v>10</v>
      </c>
      <c r="X467" s="40" t="s">
        <v>1683</v>
      </c>
      <c r="Y467" s="50">
        <v>43201</v>
      </c>
      <c r="Z467" s="37">
        <v>3174815</v>
      </c>
      <c r="AA467" s="110"/>
      <c r="AB467" s="40"/>
      <c r="AC467" s="18"/>
      <c r="AD467" s="34"/>
      <c r="AE467" s="222">
        <f t="shared" si="58"/>
        <v>0</v>
      </c>
      <c r="AF467" s="40"/>
      <c r="AG467" s="18"/>
      <c r="AH467" s="18"/>
      <c r="AI467" s="18"/>
      <c r="AJ467" s="34"/>
      <c r="AK467" s="34"/>
      <c r="AL467" s="34"/>
      <c r="AM467" s="34"/>
      <c r="AN467" s="34"/>
      <c r="AO467" s="34"/>
      <c r="AP467" s="34" t="s">
        <v>1684</v>
      </c>
      <c r="AQ467" s="50">
        <v>43201</v>
      </c>
      <c r="AR467" s="34" t="s">
        <v>1685</v>
      </c>
      <c r="AS467" s="50">
        <v>43201</v>
      </c>
      <c r="AT467" s="34"/>
    </row>
    <row r="468" spans="1:46" ht="77.25" x14ac:dyDescent="0.25">
      <c r="A468" s="18">
        <f t="shared" si="59"/>
        <v>71</v>
      </c>
      <c r="B468" s="18" t="s">
        <v>1686</v>
      </c>
      <c r="C468" s="18" t="s">
        <v>1404</v>
      </c>
      <c r="D468" s="18" t="s">
        <v>63</v>
      </c>
      <c r="E468" s="18" t="s">
        <v>63</v>
      </c>
      <c r="F468" s="18" t="s">
        <v>1582</v>
      </c>
      <c r="G468" s="18" t="s">
        <v>1583</v>
      </c>
      <c r="H468" s="18" t="s">
        <v>1680</v>
      </c>
      <c r="I468" s="18" t="s">
        <v>56</v>
      </c>
      <c r="J468" s="18" t="s">
        <v>57</v>
      </c>
      <c r="K468" s="25">
        <v>55111500</v>
      </c>
      <c r="L468" s="26"/>
      <c r="M468" s="26"/>
      <c r="N468" s="26"/>
      <c r="O468" s="26"/>
      <c r="P468" s="26" t="s">
        <v>1687</v>
      </c>
      <c r="Q468" s="89"/>
      <c r="R468" s="35">
        <v>1</v>
      </c>
      <c r="S468" s="218">
        <v>9682000</v>
      </c>
      <c r="T468" s="18"/>
      <c r="U468" s="51" t="s">
        <v>68</v>
      </c>
      <c r="V468" s="228">
        <v>43237</v>
      </c>
      <c r="W468" s="184">
        <v>12</v>
      </c>
      <c r="X468" s="40"/>
      <c r="Y468" s="50"/>
      <c r="Z468" s="37"/>
      <c r="AA468" s="110"/>
      <c r="AB468" s="40"/>
      <c r="AC468" s="18"/>
      <c r="AD468" s="34"/>
      <c r="AE468" s="222">
        <f t="shared" si="58"/>
        <v>9682000</v>
      </c>
      <c r="AF468" s="40"/>
      <c r="AG468" s="18"/>
      <c r="AH468" s="18"/>
      <c r="AI468" s="18"/>
      <c r="AJ468" s="34"/>
      <c r="AK468" s="34"/>
      <c r="AL468" s="34"/>
      <c r="AM468" s="34"/>
      <c r="AN468" s="34"/>
      <c r="AO468" s="34"/>
      <c r="AP468" s="34"/>
      <c r="AQ468" s="34"/>
      <c r="AR468" s="34"/>
      <c r="AS468" s="34"/>
      <c r="AT468" s="34"/>
    </row>
    <row r="469" spans="1:46" ht="39" x14ac:dyDescent="0.25">
      <c r="A469" s="18">
        <f t="shared" si="59"/>
        <v>72</v>
      </c>
      <c r="B469" s="18" t="s">
        <v>1688</v>
      </c>
      <c r="C469" s="18" t="s">
        <v>1404</v>
      </c>
      <c r="D469" s="18" t="s">
        <v>63</v>
      </c>
      <c r="E469" s="18" t="s">
        <v>63</v>
      </c>
      <c r="F469" s="18" t="s">
        <v>1582</v>
      </c>
      <c r="G469" s="18" t="s">
        <v>1583</v>
      </c>
      <c r="H469" s="18" t="s">
        <v>1680</v>
      </c>
      <c r="I469" s="18" t="s">
        <v>56</v>
      </c>
      <c r="J469" s="18" t="s">
        <v>57</v>
      </c>
      <c r="K469" s="25">
        <v>55111500</v>
      </c>
      <c r="L469" s="26"/>
      <c r="M469" s="26"/>
      <c r="N469" s="26"/>
      <c r="O469" s="26"/>
      <c r="P469" s="26" t="s">
        <v>1689</v>
      </c>
      <c r="Q469" s="89"/>
      <c r="R469" s="35">
        <v>1</v>
      </c>
      <c r="S469" s="218">
        <v>0</v>
      </c>
      <c r="T469" s="18"/>
      <c r="U469" s="51" t="s">
        <v>68</v>
      </c>
      <c r="V469" s="228">
        <v>43279</v>
      </c>
      <c r="W469" s="184">
        <v>12</v>
      </c>
      <c r="X469" s="40"/>
      <c r="Y469" s="50"/>
      <c r="Z469" s="37"/>
      <c r="AA469" s="110"/>
      <c r="AB469" s="40"/>
      <c r="AC469" s="18"/>
      <c r="AD469" s="34"/>
      <c r="AE469" s="222">
        <f t="shared" si="58"/>
        <v>0</v>
      </c>
      <c r="AF469" s="40"/>
      <c r="AG469" s="18"/>
      <c r="AH469" s="18"/>
      <c r="AI469" s="18"/>
      <c r="AJ469" s="34"/>
      <c r="AK469" s="34"/>
      <c r="AL469" s="34"/>
      <c r="AM469" s="34"/>
      <c r="AN469" s="34"/>
      <c r="AO469" s="34"/>
      <c r="AP469" s="34" t="s">
        <v>1690</v>
      </c>
      <c r="AQ469" s="34"/>
      <c r="AR469" s="34"/>
      <c r="AS469" s="34"/>
      <c r="AT469" s="34"/>
    </row>
    <row r="470" spans="1:46" ht="76.5" x14ac:dyDescent="0.25">
      <c r="A470" s="18">
        <f t="shared" si="59"/>
        <v>73</v>
      </c>
      <c r="B470" s="18" t="s">
        <v>1691</v>
      </c>
      <c r="C470" s="18" t="s">
        <v>1404</v>
      </c>
      <c r="D470" s="18" t="s">
        <v>63</v>
      </c>
      <c r="E470" s="18" t="s">
        <v>63</v>
      </c>
      <c r="F470" s="18" t="s">
        <v>1582</v>
      </c>
      <c r="G470" s="18" t="s">
        <v>1583</v>
      </c>
      <c r="H470" s="18" t="s">
        <v>1692</v>
      </c>
      <c r="I470" s="18" t="s">
        <v>56</v>
      </c>
      <c r="J470" s="18" t="s">
        <v>57</v>
      </c>
      <c r="K470" s="25">
        <v>76111500</v>
      </c>
      <c r="L470" s="34"/>
      <c r="M470" s="34"/>
      <c r="N470" s="34"/>
      <c r="O470" s="34"/>
      <c r="P470" s="34" t="s">
        <v>1693</v>
      </c>
      <c r="Q470" s="89"/>
      <c r="R470" s="18">
        <v>1</v>
      </c>
      <c r="S470" s="37">
        <f>263596576.307273-61439249</f>
        <v>202157327.307273</v>
      </c>
      <c r="T470" s="18" t="s">
        <v>1694</v>
      </c>
      <c r="U470" s="51" t="s">
        <v>212</v>
      </c>
      <c r="V470" s="228">
        <v>43132</v>
      </c>
      <c r="W470" s="184">
        <v>12</v>
      </c>
      <c r="X470" s="40" t="s">
        <v>1788</v>
      </c>
      <c r="Y470" s="50">
        <v>43147</v>
      </c>
      <c r="Z470" s="37">
        <v>172262398</v>
      </c>
      <c r="AA470" s="110" t="s">
        <v>1695</v>
      </c>
      <c r="AB470" s="40"/>
      <c r="AC470" s="18"/>
      <c r="AD470" s="34"/>
      <c r="AE470" s="222">
        <f t="shared" si="58"/>
        <v>29894929.307273</v>
      </c>
      <c r="AF470" s="40"/>
      <c r="AG470" s="18"/>
      <c r="AH470" s="18"/>
      <c r="AI470" s="18"/>
      <c r="AJ470" s="34"/>
      <c r="AK470" s="34"/>
      <c r="AL470" s="34"/>
      <c r="AM470" s="34"/>
      <c r="AN470" s="34"/>
      <c r="AO470" s="34"/>
      <c r="AP470" s="34" t="s">
        <v>1696</v>
      </c>
      <c r="AQ470" s="50">
        <v>43207</v>
      </c>
      <c r="AR470" s="34" t="s">
        <v>1697</v>
      </c>
      <c r="AS470" s="50">
        <v>43201</v>
      </c>
      <c r="AT470" s="34" t="s">
        <v>1698</v>
      </c>
    </row>
    <row r="471" spans="1:46" ht="38.25" x14ac:dyDescent="0.25">
      <c r="A471" s="18">
        <f t="shared" si="59"/>
        <v>74</v>
      </c>
      <c r="B471" s="18" t="s">
        <v>1699</v>
      </c>
      <c r="C471" s="18" t="s">
        <v>1404</v>
      </c>
      <c r="D471" s="18" t="s">
        <v>63</v>
      </c>
      <c r="E471" s="18" t="s">
        <v>63</v>
      </c>
      <c r="F471" s="18" t="s">
        <v>1582</v>
      </c>
      <c r="G471" s="18" t="s">
        <v>1583</v>
      </c>
      <c r="H471" s="18" t="s">
        <v>1692</v>
      </c>
      <c r="I471" s="18" t="s">
        <v>56</v>
      </c>
      <c r="J471" s="18" t="s">
        <v>57</v>
      </c>
      <c r="K471" s="25">
        <v>76111800</v>
      </c>
      <c r="L471" s="26"/>
      <c r="M471" s="26"/>
      <c r="N471" s="26"/>
      <c r="O471" s="26"/>
      <c r="P471" s="26" t="s">
        <v>1700</v>
      </c>
      <c r="Q471" s="89"/>
      <c r="R471" s="35">
        <v>1</v>
      </c>
      <c r="S471" s="218">
        <v>3900000</v>
      </c>
      <c r="T471" s="18"/>
      <c r="U471" s="18" t="s">
        <v>190</v>
      </c>
      <c r="V471" s="228" t="s">
        <v>1701</v>
      </c>
      <c r="W471" s="184">
        <v>12</v>
      </c>
      <c r="X471" s="40"/>
      <c r="Y471" s="239"/>
      <c r="Z471" s="37"/>
      <c r="AA471" s="110"/>
      <c r="AB471" s="40"/>
      <c r="AC471" s="18"/>
      <c r="AD471" s="34"/>
      <c r="AE471" s="222">
        <f t="shared" si="58"/>
        <v>3900000</v>
      </c>
      <c r="AF471" s="40"/>
      <c r="AG471" s="18"/>
      <c r="AH471" s="18"/>
      <c r="AI471" s="18"/>
      <c r="AJ471" s="34"/>
      <c r="AK471" s="34"/>
      <c r="AL471" s="34"/>
      <c r="AM471" s="34"/>
      <c r="AN471" s="34"/>
      <c r="AO471" s="34"/>
      <c r="AP471" s="34" t="s">
        <v>1702</v>
      </c>
      <c r="AQ471" s="34" t="s">
        <v>213</v>
      </c>
      <c r="AR471" s="50">
        <v>43215</v>
      </c>
      <c r="AS471" s="34" t="s">
        <v>214</v>
      </c>
      <c r="AT471" s="50">
        <v>43215</v>
      </c>
    </row>
    <row r="472" spans="1:46" ht="178.5" x14ac:dyDescent="0.25">
      <c r="A472" s="18">
        <f t="shared" si="59"/>
        <v>75</v>
      </c>
      <c r="B472" s="18" t="s">
        <v>1703</v>
      </c>
      <c r="C472" s="18" t="s">
        <v>1404</v>
      </c>
      <c r="D472" s="18" t="s">
        <v>63</v>
      </c>
      <c r="E472" s="18" t="s">
        <v>63</v>
      </c>
      <c r="F472" s="18" t="s">
        <v>1582</v>
      </c>
      <c r="G472" s="18" t="s">
        <v>1583</v>
      </c>
      <c r="H472" s="18" t="s">
        <v>1692</v>
      </c>
      <c r="I472" s="18" t="s">
        <v>56</v>
      </c>
      <c r="J472" s="18" t="s">
        <v>57</v>
      </c>
      <c r="K472" s="25">
        <v>92101500</v>
      </c>
      <c r="L472" s="34"/>
      <c r="M472" s="34"/>
      <c r="N472" s="34"/>
      <c r="O472" s="34"/>
      <c r="P472" s="34" t="s">
        <v>227</v>
      </c>
      <c r="Q472" s="89"/>
      <c r="R472" s="18">
        <v>1</v>
      </c>
      <c r="S472" s="37">
        <f>289869374-95729495+61439249</f>
        <v>255579128</v>
      </c>
      <c r="T472" s="18" t="s">
        <v>1694</v>
      </c>
      <c r="U472" s="18" t="s">
        <v>1655</v>
      </c>
      <c r="V472" s="228">
        <v>43206</v>
      </c>
      <c r="W472" s="92">
        <v>8</v>
      </c>
      <c r="X472" s="40" t="s">
        <v>1704</v>
      </c>
      <c r="Y472" s="228">
        <v>43207</v>
      </c>
      <c r="Z472" s="37">
        <v>255579128</v>
      </c>
      <c r="AA472" s="110" t="s">
        <v>1705</v>
      </c>
      <c r="AB472" s="40"/>
      <c r="AC472" s="18"/>
      <c r="AD472" s="34"/>
      <c r="AE472" s="222">
        <f t="shared" si="58"/>
        <v>0</v>
      </c>
      <c r="AF472" s="40"/>
      <c r="AG472" s="18"/>
      <c r="AH472" s="18"/>
      <c r="AI472" s="18"/>
      <c r="AJ472" s="34"/>
      <c r="AK472" s="34"/>
      <c r="AL472" s="34"/>
      <c r="AM472" s="34"/>
      <c r="AN472" s="34"/>
      <c r="AO472" s="34"/>
      <c r="AP472" s="34" t="s">
        <v>1706</v>
      </c>
      <c r="AQ472" s="50">
        <v>43207</v>
      </c>
      <c r="AR472" s="34" t="s">
        <v>1707</v>
      </c>
      <c r="AS472" s="50">
        <v>43201</v>
      </c>
      <c r="AT472" s="34" t="s">
        <v>1708</v>
      </c>
    </row>
    <row r="473" spans="1:46" ht="39" x14ac:dyDescent="0.25">
      <c r="A473" s="18">
        <f t="shared" si="59"/>
        <v>76</v>
      </c>
      <c r="B473" s="18" t="s">
        <v>1709</v>
      </c>
      <c r="C473" s="18" t="s">
        <v>1404</v>
      </c>
      <c r="D473" s="18" t="s">
        <v>63</v>
      </c>
      <c r="E473" s="18" t="s">
        <v>63</v>
      </c>
      <c r="F473" s="18" t="s">
        <v>1582</v>
      </c>
      <c r="G473" s="18" t="s">
        <v>1583</v>
      </c>
      <c r="H473" s="18" t="s">
        <v>1692</v>
      </c>
      <c r="I473" s="18" t="s">
        <v>56</v>
      </c>
      <c r="J473" s="18" t="s">
        <v>57</v>
      </c>
      <c r="K473" s="25">
        <v>31162800</v>
      </c>
      <c r="L473" s="26"/>
      <c r="M473" s="26"/>
      <c r="N473" s="26"/>
      <c r="O473" s="26"/>
      <c r="P473" s="26" t="s">
        <v>1710</v>
      </c>
      <c r="Q473" s="89"/>
      <c r="R473" s="35">
        <v>1</v>
      </c>
      <c r="S473" s="218">
        <v>16480000</v>
      </c>
      <c r="T473" s="18"/>
      <c r="U473" s="18" t="s">
        <v>190</v>
      </c>
      <c r="V473" s="228">
        <v>43132</v>
      </c>
      <c r="W473" s="92">
        <v>12</v>
      </c>
      <c r="X473" s="40" t="s">
        <v>1711</v>
      </c>
      <c r="Y473" s="50">
        <v>43132</v>
      </c>
      <c r="Z473" s="37">
        <v>16480000</v>
      </c>
      <c r="AA473" s="110"/>
      <c r="AB473" s="40"/>
      <c r="AC473" s="18"/>
      <c r="AD473" s="34"/>
      <c r="AE473" s="222">
        <f t="shared" si="58"/>
        <v>0</v>
      </c>
      <c r="AF473" s="40"/>
      <c r="AG473" s="18"/>
      <c r="AH473" s="18"/>
      <c r="AI473" s="18"/>
      <c r="AJ473" s="34"/>
      <c r="AK473" s="34"/>
      <c r="AL473" s="34"/>
      <c r="AM473" s="34"/>
      <c r="AN473" s="34"/>
      <c r="AO473" s="34"/>
      <c r="AP473" s="34"/>
      <c r="AQ473" s="34"/>
      <c r="AR473" s="34"/>
      <c r="AS473" s="34"/>
      <c r="AT473" s="34"/>
    </row>
    <row r="474" spans="1:46" ht="51.75" x14ac:dyDescent="0.25">
      <c r="A474" s="18">
        <f t="shared" si="59"/>
        <v>77</v>
      </c>
      <c r="B474" s="18" t="s">
        <v>1712</v>
      </c>
      <c r="C474" s="18" t="s">
        <v>1404</v>
      </c>
      <c r="D474" s="18" t="s">
        <v>63</v>
      </c>
      <c r="E474" s="18" t="s">
        <v>63</v>
      </c>
      <c r="F474" s="18" t="s">
        <v>1582</v>
      </c>
      <c r="G474" s="18" t="s">
        <v>1583</v>
      </c>
      <c r="H474" s="18" t="s">
        <v>1692</v>
      </c>
      <c r="I474" s="18" t="s">
        <v>56</v>
      </c>
      <c r="J474" s="18" t="s">
        <v>57</v>
      </c>
      <c r="K474" s="25">
        <v>72154302</v>
      </c>
      <c r="L474" s="26"/>
      <c r="M474" s="26"/>
      <c r="N474" s="26"/>
      <c r="O474" s="26"/>
      <c r="P474" s="26" t="s">
        <v>1713</v>
      </c>
      <c r="Q474" s="89"/>
      <c r="R474" s="35">
        <v>1</v>
      </c>
      <c r="S474" s="218">
        <v>9242839.8399999999</v>
      </c>
      <c r="T474" s="18"/>
      <c r="U474" s="18" t="s">
        <v>190</v>
      </c>
      <c r="V474" s="228">
        <v>43266</v>
      </c>
      <c r="W474" s="92">
        <v>7</v>
      </c>
      <c r="X474" s="40"/>
      <c r="Y474" s="50"/>
      <c r="Z474" s="37"/>
      <c r="AA474" s="110"/>
      <c r="AB474" s="40"/>
      <c r="AC474" s="18"/>
      <c r="AD474" s="34"/>
      <c r="AE474" s="222">
        <f t="shared" si="58"/>
        <v>9242839.8399999999</v>
      </c>
      <c r="AF474" s="40"/>
      <c r="AG474" s="18"/>
      <c r="AH474" s="18"/>
      <c r="AI474" s="18"/>
      <c r="AJ474" s="34"/>
      <c r="AK474" s="34"/>
      <c r="AL474" s="34"/>
      <c r="AM474" s="34"/>
      <c r="AN474" s="34"/>
      <c r="AO474" s="34"/>
      <c r="AP474" s="34"/>
      <c r="AQ474" s="34"/>
      <c r="AR474" s="34"/>
      <c r="AS474" s="34"/>
      <c r="AT474" s="34"/>
    </row>
    <row r="475" spans="1:46" ht="178.5" x14ac:dyDescent="0.25">
      <c r="A475" s="18">
        <f t="shared" si="59"/>
        <v>78</v>
      </c>
      <c r="B475" s="18" t="s">
        <v>1714</v>
      </c>
      <c r="C475" s="18" t="s">
        <v>1404</v>
      </c>
      <c r="D475" s="18" t="s">
        <v>63</v>
      </c>
      <c r="E475" s="18" t="s">
        <v>63</v>
      </c>
      <c r="F475" s="18" t="s">
        <v>1582</v>
      </c>
      <c r="G475" s="18" t="s">
        <v>1583</v>
      </c>
      <c r="H475" s="18" t="s">
        <v>1692</v>
      </c>
      <c r="I475" s="18" t="s">
        <v>56</v>
      </c>
      <c r="J475" s="18" t="s">
        <v>57</v>
      </c>
      <c r="K475" s="25">
        <v>72101506</v>
      </c>
      <c r="L475" s="26"/>
      <c r="M475" s="26"/>
      <c r="N475" s="26"/>
      <c r="O475" s="26"/>
      <c r="P475" s="26" t="s">
        <v>1715</v>
      </c>
      <c r="Q475" s="89"/>
      <c r="R475" s="35">
        <v>1</v>
      </c>
      <c r="S475" s="218">
        <v>2500000</v>
      </c>
      <c r="T475" s="18"/>
      <c r="U475" s="51" t="s">
        <v>1716</v>
      </c>
      <c r="V475" s="228">
        <v>43247</v>
      </c>
      <c r="W475" s="184">
        <v>8</v>
      </c>
      <c r="X475" s="40"/>
      <c r="Y475" s="50"/>
      <c r="Z475" s="37"/>
      <c r="AA475" s="110"/>
      <c r="AB475" s="40"/>
      <c r="AC475" s="18"/>
      <c r="AD475" s="34"/>
      <c r="AE475" s="222">
        <f t="shared" si="58"/>
        <v>2500000</v>
      </c>
      <c r="AF475" s="40"/>
      <c r="AG475" s="18"/>
      <c r="AH475" s="18"/>
      <c r="AI475" s="18"/>
      <c r="AJ475" s="34"/>
      <c r="AK475" s="34"/>
      <c r="AL475" s="34"/>
      <c r="AM475" s="34"/>
      <c r="AN475" s="34"/>
      <c r="AO475" s="34"/>
      <c r="AP475" s="34"/>
      <c r="AQ475" s="34"/>
      <c r="AR475" s="34"/>
      <c r="AS475" s="34"/>
      <c r="AT475" s="34"/>
    </row>
    <row r="476" spans="1:46" ht="38.25" x14ac:dyDescent="0.25">
      <c r="A476" s="18">
        <f t="shared" si="59"/>
        <v>79</v>
      </c>
      <c r="B476" s="18" t="s">
        <v>1717</v>
      </c>
      <c r="C476" s="18" t="s">
        <v>1404</v>
      </c>
      <c r="D476" s="18" t="s">
        <v>63</v>
      </c>
      <c r="E476" s="18" t="s">
        <v>63</v>
      </c>
      <c r="F476" s="18" t="s">
        <v>1582</v>
      </c>
      <c r="G476" s="18" t="s">
        <v>1583</v>
      </c>
      <c r="H476" s="18" t="s">
        <v>1692</v>
      </c>
      <c r="I476" s="18" t="s">
        <v>56</v>
      </c>
      <c r="J476" s="18" t="s">
        <v>57</v>
      </c>
      <c r="K476" s="25">
        <v>72101516</v>
      </c>
      <c r="L476" s="26"/>
      <c r="M476" s="26"/>
      <c r="N476" s="26"/>
      <c r="O476" s="26"/>
      <c r="P476" s="34" t="s">
        <v>1718</v>
      </c>
      <c r="Q476" s="89"/>
      <c r="R476" s="35">
        <v>1</v>
      </c>
      <c r="S476" s="218">
        <v>2500000</v>
      </c>
      <c r="T476" s="18"/>
      <c r="U476" s="51" t="s">
        <v>1625</v>
      </c>
      <c r="V476" s="228">
        <v>43391</v>
      </c>
      <c r="W476" s="184">
        <v>2</v>
      </c>
      <c r="X476" s="40"/>
      <c r="Y476" s="50"/>
      <c r="Z476" s="37"/>
      <c r="AA476" s="110"/>
      <c r="AB476" s="40"/>
      <c r="AC476" s="18"/>
      <c r="AD476" s="34"/>
      <c r="AE476" s="222">
        <f t="shared" si="58"/>
        <v>2500000</v>
      </c>
      <c r="AF476" s="40"/>
      <c r="AG476" s="18"/>
      <c r="AH476" s="18"/>
      <c r="AI476" s="18"/>
      <c r="AJ476" s="34"/>
      <c r="AK476" s="34"/>
      <c r="AL476" s="34"/>
      <c r="AM476" s="34"/>
      <c r="AN476" s="34"/>
      <c r="AO476" s="34"/>
      <c r="AP476" s="34"/>
      <c r="AQ476" s="34"/>
      <c r="AR476" s="34"/>
      <c r="AS476" s="34"/>
      <c r="AT476" s="34"/>
    </row>
    <row r="477" spans="1:46" ht="38.25" x14ac:dyDescent="0.25">
      <c r="A477" s="18">
        <f t="shared" si="59"/>
        <v>80</v>
      </c>
      <c r="B477" s="18" t="s">
        <v>1719</v>
      </c>
      <c r="C477" s="18" t="s">
        <v>1404</v>
      </c>
      <c r="D477" s="18" t="s">
        <v>63</v>
      </c>
      <c r="E477" s="18" t="s">
        <v>63</v>
      </c>
      <c r="F477" s="18" t="s">
        <v>1582</v>
      </c>
      <c r="G477" s="18" t="s">
        <v>1583</v>
      </c>
      <c r="H477" s="18" t="s">
        <v>1692</v>
      </c>
      <c r="I477" s="18" t="s">
        <v>56</v>
      </c>
      <c r="J477" s="18" t="s">
        <v>57</v>
      </c>
      <c r="K477" s="25" t="s">
        <v>63</v>
      </c>
      <c r="L477" s="26"/>
      <c r="M477" s="26"/>
      <c r="N477" s="26"/>
      <c r="O477" s="26"/>
      <c r="P477" s="235" t="s">
        <v>1648</v>
      </c>
      <c r="Q477" s="89"/>
      <c r="R477" s="35"/>
      <c r="S477" s="218">
        <v>8240000</v>
      </c>
      <c r="T477" s="18"/>
      <c r="U477" s="51" t="s">
        <v>1586</v>
      </c>
      <c r="V477" s="51" t="s">
        <v>1587</v>
      </c>
      <c r="W477" s="92">
        <v>12</v>
      </c>
      <c r="X477" s="40" t="s">
        <v>1720</v>
      </c>
      <c r="Y477" s="50">
        <v>43119</v>
      </c>
      <c r="Z477" s="37">
        <v>8000000</v>
      </c>
      <c r="AA477" s="110"/>
      <c r="AB477" s="40">
        <v>542</v>
      </c>
      <c r="AC477" s="18" t="s">
        <v>1651</v>
      </c>
      <c r="AD477" s="37">
        <v>8000000</v>
      </c>
      <c r="AE477" s="222">
        <f t="shared" si="58"/>
        <v>240000</v>
      </c>
      <c r="AF477" s="40"/>
      <c r="AG477" s="18"/>
      <c r="AH477" s="18"/>
      <c r="AI477" s="18"/>
      <c r="AJ477" s="34"/>
      <c r="AK477" s="34"/>
      <c r="AL477" s="34"/>
      <c r="AM477" s="34"/>
      <c r="AN477" s="34"/>
      <c r="AO477" s="34"/>
      <c r="AP477" s="34"/>
      <c r="AQ477" s="34"/>
      <c r="AR477" s="34"/>
      <c r="AS477" s="34"/>
      <c r="AT477" s="34"/>
    </row>
    <row r="478" spans="1:46" ht="38.25" x14ac:dyDescent="0.25">
      <c r="A478" s="18">
        <f t="shared" si="59"/>
        <v>81</v>
      </c>
      <c r="B478" s="18" t="s">
        <v>1721</v>
      </c>
      <c r="C478" s="18" t="s">
        <v>1404</v>
      </c>
      <c r="D478" s="18" t="s">
        <v>63</v>
      </c>
      <c r="E478" s="18" t="s">
        <v>63</v>
      </c>
      <c r="F478" s="18" t="s">
        <v>1582</v>
      </c>
      <c r="G478" s="18" t="s">
        <v>1583</v>
      </c>
      <c r="H478" s="18" t="s">
        <v>1722</v>
      </c>
      <c r="I478" s="18" t="s">
        <v>56</v>
      </c>
      <c r="J478" s="18" t="s">
        <v>57</v>
      </c>
      <c r="K478" s="25" t="s">
        <v>63</v>
      </c>
      <c r="L478" s="26"/>
      <c r="M478" s="26"/>
      <c r="N478" s="26"/>
      <c r="O478" s="26"/>
      <c r="P478" s="235" t="s">
        <v>1648</v>
      </c>
      <c r="Q478" s="89">
        <v>257500</v>
      </c>
      <c r="R478" s="35"/>
      <c r="S478" s="218">
        <v>3090000</v>
      </c>
      <c r="T478" s="18"/>
      <c r="U478" s="51" t="s">
        <v>1586</v>
      </c>
      <c r="V478" s="51" t="s">
        <v>1587</v>
      </c>
      <c r="W478" s="92">
        <v>12</v>
      </c>
      <c r="X478" s="40" t="s">
        <v>1723</v>
      </c>
      <c r="Y478" s="50">
        <v>43119</v>
      </c>
      <c r="Z478" s="37">
        <v>3000000</v>
      </c>
      <c r="AA478" s="110"/>
      <c r="AB478" s="40">
        <v>547</v>
      </c>
      <c r="AC478" s="18" t="s">
        <v>1651</v>
      </c>
      <c r="AD478" s="37">
        <v>3000000</v>
      </c>
      <c r="AE478" s="222">
        <f t="shared" si="58"/>
        <v>90000</v>
      </c>
      <c r="AF478" s="40"/>
      <c r="AG478" s="18"/>
      <c r="AH478" s="18"/>
      <c r="AI478" s="18"/>
      <c r="AJ478" s="34"/>
      <c r="AK478" s="34"/>
      <c r="AL478" s="34"/>
      <c r="AM478" s="34"/>
      <c r="AN478" s="34"/>
      <c r="AO478" s="34"/>
      <c r="AP478" s="34"/>
      <c r="AQ478" s="34"/>
      <c r="AR478" s="34"/>
      <c r="AS478" s="34"/>
      <c r="AT478" s="34"/>
    </row>
    <row r="479" spans="1:46" ht="25.5" x14ac:dyDescent="0.25">
      <c r="A479" s="18">
        <f t="shared" si="59"/>
        <v>82</v>
      </c>
      <c r="B479" s="18" t="s">
        <v>1724</v>
      </c>
      <c r="C479" s="18" t="s">
        <v>1404</v>
      </c>
      <c r="D479" s="18" t="s">
        <v>63</v>
      </c>
      <c r="E479" s="18" t="s">
        <v>63</v>
      </c>
      <c r="F479" s="18" t="s">
        <v>1582</v>
      </c>
      <c r="G479" s="18" t="s">
        <v>1583</v>
      </c>
      <c r="H479" s="18" t="s">
        <v>1725</v>
      </c>
      <c r="I479" s="18" t="s">
        <v>56</v>
      </c>
      <c r="J479" s="18" t="s">
        <v>57</v>
      </c>
      <c r="K479" s="25" t="s">
        <v>63</v>
      </c>
      <c r="L479" s="26"/>
      <c r="M479" s="26"/>
      <c r="N479" s="26"/>
      <c r="O479" s="26"/>
      <c r="P479" s="235" t="s">
        <v>1726</v>
      </c>
      <c r="Q479" s="89">
        <v>10000000</v>
      </c>
      <c r="R479" s="35">
        <v>1</v>
      </c>
      <c r="S479" s="218">
        <v>10000000</v>
      </c>
      <c r="T479" s="18" t="s">
        <v>1604</v>
      </c>
      <c r="U479" s="18" t="s">
        <v>1604</v>
      </c>
      <c r="V479" s="51" t="s">
        <v>1587</v>
      </c>
      <c r="W479" s="92" t="s">
        <v>1587</v>
      </c>
      <c r="X479" s="40"/>
      <c r="Y479" s="50"/>
      <c r="Z479" s="37"/>
      <c r="AA479" s="110"/>
      <c r="AB479" s="40"/>
      <c r="AC479" s="18"/>
      <c r="AD479" s="34"/>
      <c r="AE479" s="222">
        <f t="shared" si="58"/>
        <v>10000000</v>
      </c>
      <c r="AF479" s="40"/>
      <c r="AG479" s="18"/>
      <c r="AH479" s="18"/>
      <c r="AI479" s="18"/>
      <c r="AJ479" s="34"/>
      <c r="AK479" s="34"/>
      <c r="AL479" s="34"/>
      <c r="AM479" s="34"/>
      <c r="AN479" s="34"/>
      <c r="AO479" s="34"/>
      <c r="AP479" s="34"/>
      <c r="AQ479" s="34"/>
      <c r="AR479" s="34"/>
      <c r="AS479" s="34"/>
      <c r="AT479" s="34"/>
    </row>
    <row r="480" spans="1:46" ht="25.5" x14ac:dyDescent="0.25">
      <c r="A480" s="18">
        <f t="shared" si="59"/>
        <v>83</v>
      </c>
      <c r="B480" s="18" t="s">
        <v>1727</v>
      </c>
      <c r="C480" s="18" t="s">
        <v>1404</v>
      </c>
      <c r="D480" s="18" t="s">
        <v>63</v>
      </c>
      <c r="E480" s="18" t="s">
        <v>63</v>
      </c>
      <c r="F480" s="18" t="s">
        <v>1582</v>
      </c>
      <c r="G480" s="18" t="s">
        <v>1583</v>
      </c>
      <c r="H480" s="18" t="s">
        <v>1657</v>
      </c>
      <c r="I480" s="18" t="s">
        <v>56</v>
      </c>
      <c r="J480" s="18" t="s">
        <v>57</v>
      </c>
      <c r="K480" s="25" t="s">
        <v>1000</v>
      </c>
      <c r="L480" s="26"/>
      <c r="M480" s="26"/>
      <c r="N480" s="26"/>
      <c r="O480" s="26"/>
      <c r="P480" s="18" t="str">
        <f>[5]Hoja1!$D$19</f>
        <v>Pago de internet de la Caja de la Vivienda Popular</v>
      </c>
      <c r="Q480" s="218">
        <v>747183</v>
      </c>
      <c r="R480" s="35">
        <v>1</v>
      </c>
      <c r="S480" s="218">
        <v>747183</v>
      </c>
      <c r="T480" s="18" t="s">
        <v>63</v>
      </c>
      <c r="U480" s="18" t="s">
        <v>63</v>
      </c>
      <c r="V480" s="228">
        <v>43117</v>
      </c>
      <c r="W480" s="184">
        <v>1</v>
      </c>
      <c r="X480" s="40" t="s">
        <v>1728</v>
      </c>
      <c r="Y480" s="228">
        <v>43117</v>
      </c>
      <c r="Z480" s="37">
        <v>747183</v>
      </c>
      <c r="AA480" s="110"/>
      <c r="AB480" s="40">
        <v>522</v>
      </c>
      <c r="AC480" s="18" t="s">
        <v>1418</v>
      </c>
      <c r="AD480" s="37">
        <v>747183</v>
      </c>
      <c r="AE480" s="222">
        <f t="shared" si="58"/>
        <v>0</v>
      </c>
      <c r="AF480" s="223">
        <v>307</v>
      </c>
      <c r="AG480" s="224" t="s">
        <v>1476</v>
      </c>
      <c r="AH480" s="225">
        <v>747183</v>
      </c>
      <c r="AI480" s="224" t="s">
        <v>1599</v>
      </c>
      <c r="AJ480" s="226">
        <v>565515</v>
      </c>
      <c r="AK480" s="226"/>
      <c r="AL480" s="225">
        <v>747183</v>
      </c>
      <c r="AM480" s="225">
        <v>0</v>
      </c>
      <c r="AN480" s="34"/>
      <c r="AO480" s="34"/>
      <c r="AP480" s="34" t="s">
        <v>1729</v>
      </c>
      <c r="AQ480" s="34"/>
      <c r="AR480" s="34"/>
      <c r="AS480" s="34"/>
      <c r="AT480" s="34"/>
    </row>
    <row r="481" spans="1:46" ht="25.5" x14ac:dyDescent="0.25">
      <c r="A481" s="18">
        <f t="shared" si="59"/>
        <v>84</v>
      </c>
      <c r="B481" s="18" t="s">
        <v>1730</v>
      </c>
      <c r="C481" s="18" t="s">
        <v>1404</v>
      </c>
      <c r="D481" s="18" t="s">
        <v>63</v>
      </c>
      <c r="E481" s="18" t="s">
        <v>63</v>
      </c>
      <c r="F481" s="18" t="s">
        <v>1582</v>
      </c>
      <c r="G481" s="18" t="s">
        <v>1583</v>
      </c>
      <c r="H481" s="18" t="s">
        <v>1657</v>
      </c>
      <c r="I481" s="18" t="s">
        <v>56</v>
      </c>
      <c r="J481" s="18" t="s">
        <v>57</v>
      </c>
      <c r="K481" s="25" t="s">
        <v>1000</v>
      </c>
      <c r="L481" s="26"/>
      <c r="M481" s="26"/>
      <c r="N481" s="26"/>
      <c r="O481" s="26"/>
      <c r="P481" s="18" t="str">
        <f>[6]Hoja1!$D$19</f>
        <v>Pago de internet de la Caja de la Vivienda Popular</v>
      </c>
      <c r="Q481" s="218">
        <v>191533</v>
      </c>
      <c r="R481" s="35">
        <v>1</v>
      </c>
      <c r="S481" s="218">
        <v>191533</v>
      </c>
      <c r="T481" s="18" t="s">
        <v>63</v>
      </c>
      <c r="U481" s="18" t="s">
        <v>63</v>
      </c>
      <c r="V481" s="228">
        <v>43119</v>
      </c>
      <c r="W481" s="184">
        <v>6</v>
      </c>
      <c r="X481" s="40" t="s">
        <v>1731</v>
      </c>
      <c r="Y481" s="50">
        <v>43119</v>
      </c>
      <c r="Z481" s="37">
        <v>191533</v>
      </c>
      <c r="AA481" s="110"/>
      <c r="AB481" s="40">
        <v>545</v>
      </c>
      <c r="AC481" s="18" t="s">
        <v>1651</v>
      </c>
      <c r="AD481" s="37">
        <v>191533</v>
      </c>
      <c r="AE481" s="222">
        <f t="shared" si="58"/>
        <v>0</v>
      </c>
      <c r="AF481" s="223">
        <v>319</v>
      </c>
      <c r="AG481" s="224" t="s">
        <v>1476</v>
      </c>
      <c r="AH481" s="225">
        <v>191533</v>
      </c>
      <c r="AI481" s="224" t="s">
        <v>1599</v>
      </c>
      <c r="AJ481" s="226">
        <v>565515</v>
      </c>
      <c r="AK481" s="226"/>
      <c r="AL481" s="225">
        <v>191533</v>
      </c>
      <c r="AM481" s="225">
        <v>0</v>
      </c>
      <c r="AN481" s="34"/>
      <c r="AO481" s="34"/>
      <c r="AP481" s="34" t="s">
        <v>1732</v>
      </c>
      <c r="AQ481" s="34"/>
      <c r="AR481" s="34"/>
      <c r="AS481" s="34"/>
      <c r="AT481" s="34"/>
    </row>
    <row r="482" spans="1:46" ht="25.5" x14ac:dyDescent="0.25">
      <c r="A482" s="18">
        <f t="shared" si="59"/>
        <v>85</v>
      </c>
      <c r="B482" s="18" t="s">
        <v>1733</v>
      </c>
      <c r="C482" s="18" t="s">
        <v>1404</v>
      </c>
      <c r="D482" s="18" t="s">
        <v>63</v>
      </c>
      <c r="E482" s="18" t="s">
        <v>63</v>
      </c>
      <c r="F482" s="18" t="s">
        <v>1582</v>
      </c>
      <c r="G482" s="18" t="s">
        <v>1583</v>
      </c>
      <c r="H482" s="18" t="s">
        <v>1657</v>
      </c>
      <c r="I482" s="18" t="s">
        <v>56</v>
      </c>
      <c r="J482" s="18" t="s">
        <v>57</v>
      </c>
      <c r="K482" s="25" t="s">
        <v>1000</v>
      </c>
      <c r="L482" s="26"/>
      <c r="M482" s="26"/>
      <c r="N482" s="26"/>
      <c r="O482" s="26"/>
      <c r="P482" s="18" t="s">
        <v>1734</v>
      </c>
      <c r="Q482" s="218">
        <v>747185</v>
      </c>
      <c r="R482" s="35">
        <v>1</v>
      </c>
      <c r="S482" s="218">
        <v>747185</v>
      </c>
      <c r="T482" s="18" t="s">
        <v>63</v>
      </c>
      <c r="U482" s="18" t="s">
        <v>63</v>
      </c>
      <c r="V482" s="228">
        <v>43150</v>
      </c>
      <c r="W482" s="184">
        <v>6</v>
      </c>
      <c r="X482" s="40" t="s">
        <v>1735</v>
      </c>
      <c r="Y482" s="50">
        <v>43150</v>
      </c>
      <c r="Z482" s="37">
        <v>747185</v>
      </c>
      <c r="AA482" s="110"/>
      <c r="AB482" s="40"/>
      <c r="AC482" s="18"/>
      <c r="AD482" s="37"/>
      <c r="AE482" s="222">
        <f t="shared" si="58"/>
        <v>0</v>
      </c>
      <c r="AF482" s="90"/>
      <c r="AG482" s="256"/>
      <c r="AH482" s="256"/>
      <c r="AI482" s="124"/>
      <c r="AJ482" s="256"/>
      <c r="AK482" s="256"/>
      <c r="AL482" s="256"/>
      <c r="AM482" s="256"/>
      <c r="AN482" s="34"/>
      <c r="AO482" s="34"/>
      <c r="AP482" s="34" t="s">
        <v>1732</v>
      </c>
      <c r="AQ482" s="34"/>
      <c r="AR482" s="34"/>
      <c r="AS482" s="34"/>
      <c r="AT482" s="34"/>
    </row>
    <row r="483" spans="1:46" ht="76.5" x14ac:dyDescent="0.25">
      <c r="A483" s="18">
        <f t="shared" si="59"/>
        <v>86</v>
      </c>
      <c r="B483" s="18" t="s">
        <v>1736</v>
      </c>
      <c r="C483" s="18" t="s">
        <v>1404</v>
      </c>
      <c r="D483" s="18" t="s">
        <v>63</v>
      </c>
      <c r="E483" s="18" t="s">
        <v>63</v>
      </c>
      <c r="F483" s="18" t="s">
        <v>1582</v>
      </c>
      <c r="G483" s="18" t="s">
        <v>1583</v>
      </c>
      <c r="H483" s="18" t="s">
        <v>1657</v>
      </c>
      <c r="I483" s="18" t="s">
        <v>56</v>
      </c>
      <c r="J483" s="18" t="s">
        <v>57</v>
      </c>
      <c r="K483" s="25">
        <v>81161601</v>
      </c>
      <c r="L483" s="26"/>
      <c r="M483" s="26"/>
      <c r="N483" s="26"/>
      <c r="O483" s="26"/>
      <c r="P483" s="18" t="str">
        <f>[7]Hoja1!$D$19</f>
        <v>Adición y prórroga al contrato 419 de 2017 cuyo objeto es "Prestar el servicio de mensajería expresa y motorizada para la recolección, transporte y entrega de la correspondencia de la Caja de la Vivienda Popular."</v>
      </c>
      <c r="Q483" s="89">
        <v>22000000</v>
      </c>
      <c r="R483" s="35">
        <v>1</v>
      </c>
      <c r="S483" s="218">
        <v>22000000</v>
      </c>
      <c r="T483" s="18" t="s">
        <v>63</v>
      </c>
      <c r="U483" s="18" t="s">
        <v>63</v>
      </c>
      <c r="V483" s="228">
        <v>43174</v>
      </c>
      <c r="W483" s="184">
        <v>3</v>
      </c>
      <c r="X483" s="40" t="s">
        <v>1737</v>
      </c>
      <c r="Y483" s="50">
        <v>43153</v>
      </c>
      <c r="Z483" s="37">
        <v>22000000</v>
      </c>
      <c r="AA483" s="110"/>
      <c r="AB483" s="40"/>
      <c r="AC483" s="18"/>
      <c r="AD483" s="37"/>
      <c r="AE483" s="222">
        <f t="shared" si="58"/>
        <v>0</v>
      </c>
      <c r="AF483" s="90"/>
      <c r="AG483" s="256"/>
      <c r="AH483" s="256"/>
      <c r="AI483" s="124"/>
      <c r="AJ483" s="256"/>
      <c r="AK483" s="256"/>
      <c r="AL483" s="256"/>
      <c r="AM483" s="256"/>
      <c r="AN483" s="34"/>
      <c r="AO483" s="34"/>
      <c r="AP483" s="34" t="s">
        <v>1738</v>
      </c>
      <c r="AQ483" s="34"/>
      <c r="AR483" s="34"/>
      <c r="AS483" s="34"/>
      <c r="AT483" s="34"/>
    </row>
    <row r="484" spans="1:46" ht="25.5" x14ac:dyDescent="0.25">
      <c r="A484" s="18">
        <f t="shared" si="59"/>
        <v>87</v>
      </c>
      <c r="B484" s="18" t="s">
        <v>1739</v>
      </c>
      <c r="C484" s="18" t="s">
        <v>1404</v>
      </c>
      <c r="D484" s="18" t="s">
        <v>63</v>
      </c>
      <c r="E484" s="18" t="s">
        <v>63</v>
      </c>
      <c r="F484" s="18" t="s">
        <v>1582</v>
      </c>
      <c r="G484" s="18" t="s">
        <v>1583</v>
      </c>
      <c r="H484" s="18" t="s">
        <v>1657</v>
      </c>
      <c r="I484" s="18" t="s">
        <v>56</v>
      </c>
      <c r="J484" s="18" t="s">
        <v>57</v>
      </c>
      <c r="K484" s="25" t="s">
        <v>1000</v>
      </c>
      <c r="L484" s="26"/>
      <c r="M484" s="26"/>
      <c r="N484" s="26"/>
      <c r="O484" s="26"/>
      <c r="P484" s="240" t="s">
        <v>1740</v>
      </c>
      <c r="Q484" s="89"/>
      <c r="R484" s="92"/>
      <c r="S484" s="241"/>
      <c r="T484" s="92" t="s">
        <v>63</v>
      </c>
      <c r="U484" s="18" t="s">
        <v>63</v>
      </c>
      <c r="V484" s="228">
        <v>43166</v>
      </c>
      <c r="W484" s="92" t="s">
        <v>1587</v>
      </c>
      <c r="X484" s="40" t="s">
        <v>1741</v>
      </c>
      <c r="Y484" s="50">
        <v>43166</v>
      </c>
      <c r="Z484" s="37"/>
      <c r="AA484" s="242"/>
      <c r="AB484" s="90"/>
      <c r="AC484" s="90"/>
      <c r="AD484" s="90"/>
      <c r="AE484" s="90"/>
      <c r="AF484" s="40"/>
      <c r="AG484" s="40"/>
      <c r="AH484" s="243"/>
      <c r="AI484" s="40"/>
      <c r="AJ484" s="244"/>
      <c r="AK484" s="38"/>
      <c r="AL484" s="245"/>
      <c r="AM484" s="245"/>
      <c r="AN484" s="90"/>
      <c r="AO484" s="90"/>
      <c r="AP484" s="92" t="s">
        <v>1742</v>
      </c>
      <c r="AQ484" s="241">
        <v>38185399</v>
      </c>
      <c r="AR484" s="246"/>
      <c r="AS484" s="246"/>
      <c r="AT484" s="246"/>
    </row>
    <row r="485" spans="1:46" ht="25.5" x14ac:dyDescent="0.25">
      <c r="A485" s="18">
        <f t="shared" si="59"/>
        <v>88</v>
      </c>
      <c r="B485" s="18" t="s">
        <v>1743</v>
      </c>
      <c r="C485" s="18" t="s">
        <v>1404</v>
      </c>
      <c r="D485" s="18" t="s">
        <v>63</v>
      </c>
      <c r="E485" s="18" t="s">
        <v>63</v>
      </c>
      <c r="F485" s="18" t="s">
        <v>1582</v>
      </c>
      <c r="G485" s="18" t="s">
        <v>1583</v>
      </c>
      <c r="H485" s="18" t="s">
        <v>1680</v>
      </c>
      <c r="I485" s="18" t="s">
        <v>56</v>
      </c>
      <c r="J485" s="18" t="s">
        <v>57</v>
      </c>
      <c r="K485" s="25" t="s">
        <v>1000</v>
      </c>
      <c r="L485" s="26"/>
      <c r="M485" s="26"/>
      <c r="N485" s="26"/>
      <c r="O485" s="26"/>
      <c r="P485" s="240" t="s">
        <v>1740</v>
      </c>
      <c r="Q485" s="89"/>
      <c r="R485" s="256"/>
      <c r="S485" s="247"/>
      <c r="T485" s="92" t="s">
        <v>63</v>
      </c>
      <c r="U485" s="18" t="s">
        <v>63</v>
      </c>
      <c r="V485" s="120">
        <v>43166</v>
      </c>
      <c r="W485" s="92" t="s">
        <v>1587</v>
      </c>
      <c r="X485" s="90" t="s">
        <v>1744</v>
      </c>
      <c r="Y485" s="50">
        <v>43166</v>
      </c>
      <c r="Z485" s="37"/>
      <c r="AA485" s="234"/>
      <c r="AB485" s="90"/>
      <c r="AC485" s="90"/>
      <c r="AD485" s="256"/>
      <c r="AE485" s="256"/>
      <c r="AF485" s="90"/>
      <c r="AG485" s="256"/>
      <c r="AH485" s="256"/>
      <c r="AI485" s="124"/>
      <c r="AJ485" s="256"/>
      <c r="AK485" s="256"/>
      <c r="AL485" s="256"/>
      <c r="AM485" s="256"/>
      <c r="AN485" s="256"/>
      <c r="AO485" s="256"/>
      <c r="AP485" s="92" t="s">
        <v>1742</v>
      </c>
      <c r="AQ485" s="247">
        <v>20298185</v>
      </c>
      <c r="AR485" s="126"/>
      <c r="AS485" s="126"/>
      <c r="AT485" s="126"/>
    </row>
    <row r="486" spans="1:46" ht="25.5" x14ac:dyDescent="0.25">
      <c r="A486" s="18">
        <f t="shared" si="59"/>
        <v>89</v>
      </c>
      <c r="B486" s="18" t="s">
        <v>1745</v>
      </c>
      <c r="C486" s="18" t="s">
        <v>1404</v>
      </c>
      <c r="D486" s="18" t="s">
        <v>63</v>
      </c>
      <c r="E486" s="18" t="s">
        <v>63</v>
      </c>
      <c r="F486" s="18" t="s">
        <v>1582</v>
      </c>
      <c r="G486" s="18" t="s">
        <v>1583</v>
      </c>
      <c r="H486" s="18" t="s">
        <v>1692</v>
      </c>
      <c r="I486" s="18" t="s">
        <v>56</v>
      </c>
      <c r="J486" s="18" t="s">
        <v>57</v>
      </c>
      <c r="K486" s="25">
        <v>76111800</v>
      </c>
      <c r="L486" s="26"/>
      <c r="M486" s="26"/>
      <c r="N486" s="26"/>
      <c r="O486" s="26"/>
      <c r="P486" s="240" t="s">
        <v>1740</v>
      </c>
      <c r="Q486" s="89"/>
      <c r="R486" s="256"/>
      <c r="S486" s="247"/>
      <c r="T486" s="92" t="s">
        <v>63</v>
      </c>
      <c r="U486" s="92" t="s">
        <v>63</v>
      </c>
      <c r="V486" s="120">
        <v>43166</v>
      </c>
      <c r="W486" s="92" t="s">
        <v>1587</v>
      </c>
      <c r="X486" s="90" t="s">
        <v>1746</v>
      </c>
      <c r="Y486" s="50">
        <v>43166</v>
      </c>
      <c r="Z486" s="37"/>
      <c r="AA486" s="234"/>
      <c r="AB486" s="90"/>
      <c r="AC486" s="90"/>
      <c r="AD486" s="256"/>
      <c r="AE486" s="256"/>
      <c r="AF486" s="90"/>
      <c r="AG486" s="256"/>
      <c r="AH486" s="256"/>
      <c r="AI486" s="124"/>
      <c r="AJ486" s="256"/>
      <c r="AK486" s="256"/>
      <c r="AL486" s="256"/>
      <c r="AM486" s="256"/>
      <c r="AN486" s="256"/>
      <c r="AO486" s="256"/>
      <c r="AP486" s="92" t="s">
        <v>1742</v>
      </c>
      <c r="AQ486" s="247">
        <v>13954210</v>
      </c>
      <c r="AR486" s="126"/>
      <c r="AS486" s="126"/>
      <c r="AT486" s="126"/>
    </row>
    <row r="487" spans="1:46" ht="25.5" x14ac:dyDescent="0.25">
      <c r="A487" s="18">
        <f t="shared" si="59"/>
        <v>90</v>
      </c>
      <c r="B487" s="18" t="s">
        <v>1747</v>
      </c>
      <c r="C487" s="18" t="s">
        <v>1404</v>
      </c>
      <c r="D487" s="18" t="s">
        <v>63</v>
      </c>
      <c r="E487" s="18" t="s">
        <v>63</v>
      </c>
      <c r="F487" s="18" t="s">
        <v>1582</v>
      </c>
      <c r="G487" s="18" t="s">
        <v>1615</v>
      </c>
      <c r="H487" s="18" t="s">
        <v>1637</v>
      </c>
      <c r="I487" s="18" t="s">
        <v>56</v>
      </c>
      <c r="J487" s="18" t="s">
        <v>57</v>
      </c>
      <c r="K487" s="25">
        <v>44120000</v>
      </c>
      <c r="L487" s="26"/>
      <c r="M487" s="26"/>
      <c r="N487" s="26"/>
      <c r="O487" s="126"/>
      <c r="P487" s="240" t="s">
        <v>1740</v>
      </c>
      <c r="Q487" s="89"/>
      <c r="R487" s="256"/>
      <c r="S487" s="247"/>
      <c r="T487" s="92" t="s">
        <v>63</v>
      </c>
      <c r="U487" s="92" t="s">
        <v>63</v>
      </c>
      <c r="V487" s="120">
        <v>43166</v>
      </c>
      <c r="W487" s="92" t="s">
        <v>1587</v>
      </c>
      <c r="X487" s="90" t="s">
        <v>1748</v>
      </c>
      <c r="Y487" s="50">
        <v>43166</v>
      </c>
      <c r="Z487" s="37"/>
      <c r="AA487" s="234"/>
      <c r="AB487" s="90"/>
      <c r="AC487" s="90"/>
      <c r="AD487" s="256"/>
      <c r="AE487" s="256"/>
      <c r="AF487" s="90"/>
      <c r="AG487" s="256"/>
      <c r="AH487" s="256"/>
      <c r="AI487" s="124"/>
      <c r="AJ487" s="256"/>
      <c r="AK487" s="256"/>
      <c r="AL487" s="256"/>
      <c r="AM487" s="256"/>
      <c r="AN487" s="256"/>
      <c r="AO487" s="256"/>
      <c r="AP487" s="92" t="s">
        <v>1742</v>
      </c>
      <c r="AQ487" s="247">
        <v>10662206</v>
      </c>
      <c r="AR487" s="126"/>
      <c r="AS487" s="126"/>
      <c r="AT487" s="126"/>
    </row>
    <row r="488" spans="1:46" ht="25.5" x14ac:dyDescent="0.25">
      <c r="A488" s="18">
        <f t="shared" si="59"/>
        <v>91</v>
      </c>
      <c r="B488" s="18" t="s">
        <v>1749</v>
      </c>
      <c r="C488" s="18" t="s">
        <v>1404</v>
      </c>
      <c r="D488" s="18" t="s">
        <v>63</v>
      </c>
      <c r="E488" s="18" t="s">
        <v>63</v>
      </c>
      <c r="F488" s="18" t="s">
        <v>1582</v>
      </c>
      <c r="G488" s="18" t="s">
        <v>1615</v>
      </c>
      <c r="H488" s="18" t="s">
        <v>1642</v>
      </c>
      <c r="I488" s="18" t="s">
        <v>56</v>
      </c>
      <c r="J488" s="18" t="s">
        <v>57</v>
      </c>
      <c r="K488" s="25">
        <v>78181700</v>
      </c>
      <c r="L488" s="26"/>
      <c r="M488" s="26"/>
      <c r="N488" s="26"/>
      <c r="O488" s="26"/>
      <c r="P488" s="240" t="s">
        <v>1750</v>
      </c>
      <c r="Q488" s="89"/>
      <c r="R488" s="35"/>
      <c r="S488" s="218"/>
      <c r="T488" s="92" t="s">
        <v>63</v>
      </c>
      <c r="U488" s="92" t="s">
        <v>63</v>
      </c>
      <c r="V488" s="120">
        <v>43167</v>
      </c>
      <c r="W488" s="92" t="s">
        <v>1587</v>
      </c>
      <c r="X488" s="90" t="s">
        <v>1751</v>
      </c>
      <c r="Y488" s="50">
        <v>43167</v>
      </c>
      <c r="Z488" s="37"/>
      <c r="AA488" s="110"/>
      <c r="AB488" s="40"/>
      <c r="AC488" s="18"/>
      <c r="AD488" s="34"/>
      <c r="AE488" s="222">
        <f>S488-Z488</f>
        <v>0</v>
      </c>
      <c r="AF488" s="90"/>
      <c r="AG488" s="256"/>
      <c r="AH488" s="256"/>
      <c r="AI488" s="124"/>
      <c r="AJ488" s="256"/>
      <c r="AK488" s="256"/>
      <c r="AL488" s="256"/>
      <c r="AM488" s="256"/>
      <c r="AN488" s="34"/>
      <c r="AO488" s="34"/>
      <c r="AP488" s="92" t="s">
        <v>1742</v>
      </c>
      <c r="AQ488" s="218">
        <v>9900000</v>
      </c>
      <c r="AR488" s="34"/>
      <c r="AS488" s="34"/>
      <c r="AT488" s="34"/>
    </row>
    <row r="489" spans="1:46" ht="229.5" x14ac:dyDescent="0.25">
      <c r="A489" s="18">
        <f t="shared" si="59"/>
        <v>92</v>
      </c>
      <c r="B489" s="18" t="s">
        <v>1752</v>
      </c>
      <c r="C489" s="18" t="s">
        <v>1404</v>
      </c>
      <c r="D489" s="18" t="s">
        <v>63</v>
      </c>
      <c r="E489" s="18" t="s">
        <v>63</v>
      </c>
      <c r="F489" s="18" t="s">
        <v>1582</v>
      </c>
      <c r="G489" s="18" t="s">
        <v>1583</v>
      </c>
      <c r="H489" s="18" t="s">
        <v>1692</v>
      </c>
      <c r="I489" s="18" t="s">
        <v>56</v>
      </c>
      <c r="J489" s="18" t="s">
        <v>57</v>
      </c>
      <c r="K489" s="25">
        <v>92101500</v>
      </c>
      <c r="L489" s="34"/>
      <c r="M489" s="34"/>
      <c r="N489" s="34"/>
      <c r="O489" s="34"/>
      <c r="P489" s="34" t="s">
        <v>1753</v>
      </c>
      <c r="Q489" s="110">
        <v>95729495</v>
      </c>
      <c r="R489" s="18">
        <v>1</v>
      </c>
      <c r="S489" s="111">
        <v>95729495</v>
      </c>
      <c r="T489" s="92" t="s">
        <v>63</v>
      </c>
      <c r="U489" s="92" t="s">
        <v>63</v>
      </c>
      <c r="V489" s="228">
        <v>43173</v>
      </c>
      <c r="W489" s="92">
        <v>2</v>
      </c>
      <c r="X489" s="90" t="s">
        <v>1754</v>
      </c>
      <c r="Y489" s="50">
        <v>43174</v>
      </c>
      <c r="Z489" s="111">
        <v>95729495</v>
      </c>
      <c r="AA489" s="110"/>
      <c r="AB489" s="40"/>
      <c r="AC489" s="18"/>
      <c r="AD489" s="34"/>
      <c r="AE489" s="222">
        <f>S489-Z489</f>
        <v>0</v>
      </c>
      <c r="AF489" s="40"/>
      <c r="AG489" s="18"/>
      <c r="AH489" s="18"/>
      <c r="AI489" s="18"/>
      <c r="AJ489" s="34"/>
      <c r="AK489" s="34"/>
      <c r="AL489" s="34"/>
      <c r="AM489" s="34"/>
      <c r="AN489" s="34"/>
      <c r="AO489" s="34"/>
      <c r="AP489" s="34" t="s">
        <v>1755</v>
      </c>
      <c r="AQ489" s="34"/>
      <c r="AR489" s="34"/>
      <c r="AS489" s="34"/>
      <c r="AT489" s="34"/>
    </row>
    <row r="490" spans="1:46" ht="51" x14ac:dyDescent="0.25">
      <c r="A490" s="18">
        <f t="shared" si="59"/>
        <v>93</v>
      </c>
      <c r="B490" s="18" t="s">
        <v>1756</v>
      </c>
      <c r="C490" s="18" t="s">
        <v>1404</v>
      </c>
      <c r="D490" s="18" t="s">
        <v>63</v>
      </c>
      <c r="E490" s="18" t="s">
        <v>63</v>
      </c>
      <c r="F490" s="18" t="s">
        <v>1582</v>
      </c>
      <c r="G490" s="18" t="s">
        <v>1583</v>
      </c>
      <c r="H490" s="18" t="s">
        <v>1657</v>
      </c>
      <c r="I490" s="18" t="s">
        <v>56</v>
      </c>
      <c r="J490" s="18" t="s">
        <v>57</v>
      </c>
      <c r="K490" s="25" t="s">
        <v>1604</v>
      </c>
      <c r="L490" s="26"/>
      <c r="M490" s="26"/>
      <c r="N490" s="26"/>
      <c r="O490" s="26"/>
      <c r="P490" s="235" t="s">
        <v>1757</v>
      </c>
      <c r="Q490" s="89">
        <v>4454800</v>
      </c>
      <c r="R490" s="35">
        <v>1</v>
      </c>
      <c r="S490" s="218">
        <v>4454800</v>
      </c>
      <c r="T490" s="92" t="s">
        <v>63</v>
      </c>
      <c r="U490" s="92" t="s">
        <v>63</v>
      </c>
      <c r="V490" s="228">
        <v>43174</v>
      </c>
      <c r="W490" s="184">
        <v>11</v>
      </c>
      <c r="X490" s="90" t="s">
        <v>1758</v>
      </c>
      <c r="Y490" s="50">
        <v>43174</v>
      </c>
      <c r="Z490" s="37">
        <v>4454800</v>
      </c>
      <c r="AA490" s="110"/>
      <c r="AB490" s="40"/>
      <c r="AC490" s="18"/>
      <c r="AD490" s="37"/>
      <c r="AE490" s="222"/>
      <c r="AF490" s="223"/>
      <c r="AG490" s="224"/>
      <c r="AH490" s="225"/>
      <c r="AI490" s="224"/>
      <c r="AJ490" s="226"/>
      <c r="AK490" s="226"/>
      <c r="AL490" s="225"/>
      <c r="AM490" s="225"/>
      <c r="AN490" s="34"/>
      <c r="AO490" s="34"/>
      <c r="AP490" s="34" t="s">
        <v>1759</v>
      </c>
      <c r="AQ490" s="34"/>
      <c r="AR490" s="34"/>
      <c r="AS490" s="34"/>
      <c r="AT490" s="34"/>
    </row>
    <row r="491" spans="1:46" ht="38.25" x14ac:dyDescent="0.25">
      <c r="A491" s="18">
        <f t="shared" si="59"/>
        <v>94</v>
      </c>
      <c r="B491" s="18" t="s">
        <v>1760</v>
      </c>
      <c r="C491" s="18" t="s">
        <v>1404</v>
      </c>
      <c r="D491" s="18" t="s">
        <v>63</v>
      </c>
      <c r="E491" s="18" t="s">
        <v>63</v>
      </c>
      <c r="F491" s="18" t="s">
        <v>1582</v>
      </c>
      <c r="G491" s="18" t="s">
        <v>1583</v>
      </c>
      <c r="H491" s="18" t="s">
        <v>1657</v>
      </c>
      <c r="I491" s="18" t="s">
        <v>56</v>
      </c>
      <c r="J491" s="18" t="s">
        <v>57</v>
      </c>
      <c r="K491" s="25">
        <v>81161601</v>
      </c>
      <c r="L491" s="34"/>
      <c r="M491" s="34"/>
      <c r="N491" s="34"/>
      <c r="O491" s="34"/>
      <c r="P491" s="18" t="s">
        <v>1734</v>
      </c>
      <c r="Q491" s="89">
        <v>748900</v>
      </c>
      <c r="R491" s="18">
        <v>1</v>
      </c>
      <c r="S491" s="37">
        <v>748900</v>
      </c>
      <c r="T491" s="92" t="s">
        <v>63</v>
      </c>
      <c r="U491" s="92" t="s">
        <v>63</v>
      </c>
      <c r="V491" s="228">
        <v>43174</v>
      </c>
      <c r="W491" s="184">
        <v>1</v>
      </c>
      <c r="X491" s="90" t="s">
        <v>1761</v>
      </c>
      <c r="Y491" s="50">
        <v>43181</v>
      </c>
      <c r="Z491" s="37">
        <v>748900</v>
      </c>
      <c r="AA491" s="110" t="s">
        <v>1762</v>
      </c>
      <c r="AB491" s="40"/>
      <c r="AC491" s="18"/>
      <c r="AD491" s="37"/>
      <c r="AE491" s="222">
        <f>S491-Z491</f>
        <v>0</v>
      </c>
      <c r="AF491" s="90"/>
      <c r="AG491" s="256"/>
      <c r="AH491" s="256"/>
      <c r="AI491" s="124"/>
      <c r="AJ491" s="256"/>
      <c r="AK491" s="256"/>
      <c r="AL491" s="256"/>
      <c r="AM491" s="256"/>
      <c r="AN491" s="34"/>
      <c r="AO491" s="34"/>
      <c r="AP491" s="34" t="s">
        <v>1763</v>
      </c>
      <c r="AQ491" s="34"/>
      <c r="AR491" s="34"/>
      <c r="AS491" s="34"/>
      <c r="AT491" s="34"/>
    </row>
    <row r="492" spans="1:46" ht="179.25" x14ac:dyDescent="0.25">
      <c r="A492" s="18">
        <f t="shared" si="59"/>
        <v>95</v>
      </c>
      <c r="B492" s="18" t="s">
        <v>1764</v>
      </c>
      <c r="C492" s="18" t="s">
        <v>1404</v>
      </c>
      <c r="D492" s="18" t="s">
        <v>63</v>
      </c>
      <c r="E492" s="18" t="s">
        <v>63</v>
      </c>
      <c r="F492" s="18" t="s">
        <v>1582</v>
      </c>
      <c r="G492" s="18" t="s">
        <v>1583</v>
      </c>
      <c r="H492" s="18" t="s">
        <v>1607</v>
      </c>
      <c r="I492" s="18" t="s">
        <v>56</v>
      </c>
      <c r="J492" s="18" t="s">
        <v>57</v>
      </c>
      <c r="K492" s="25">
        <v>93141506</v>
      </c>
      <c r="L492" s="34"/>
      <c r="M492" s="34"/>
      <c r="N492" s="34"/>
      <c r="O492" s="34"/>
      <c r="P492" s="217" t="s">
        <v>1765</v>
      </c>
      <c r="Q492" s="89">
        <v>2346902</v>
      </c>
      <c r="R492" s="18">
        <v>1</v>
      </c>
      <c r="S492" s="89">
        <v>2346902</v>
      </c>
      <c r="T492" s="92" t="s">
        <v>63</v>
      </c>
      <c r="U492" s="92" t="s">
        <v>63</v>
      </c>
      <c r="V492" s="228">
        <v>43182</v>
      </c>
      <c r="W492" s="184">
        <v>7</v>
      </c>
      <c r="X492" s="90" t="s">
        <v>1766</v>
      </c>
      <c r="Y492" s="50">
        <v>43182</v>
      </c>
      <c r="Z492" s="89">
        <v>2346902</v>
      </c>
      <c r="AA492" s="110" t="s">
        <v>1767</v>
      </c>
      <c r="AB492" s="40"/>
      <c r="AC492" s="18"/>
      <c r="AD492" s="34"/>
      <c r="AE492" s="222">
        <f t="shared" ref="AE492" si="60">S492-Z492</f>
        <v>0</v>
      </c>
      <c r="AF492" s="90"/>
      <c r="AG492" s="256"/>
      <c r="AH492" s="256"/>
      <c r="AI492" s="124"/>
      <c r="AJ492" s="256"/>
      <c r="AK492" s="256"/>
      <c r="AL492" s="256"/>
      <c r="AM492" s="256"/>
      <c r="AN492" s="34"/>
      <c r="AO492" s="34"/>
      <c r="AP492" s="110" t="s">
        <v>1768</v>
      </c>
      <c r="AQ492" s="34"/>
      <c r="AR492" s="34"/>
      <c r="AS492" s="34"/>
      <c r="AT492" s="34"/>
    </row>
    <row r="493" spans="1:46" ht="76.5" x14ac:dyDescent="0.25">
      <c r="A493" s="18">
        <f t="shared" si="59"/>
        <v>96</v>
      </c>
      <c r="B493" s="18" t="s">
        <v>1769</v>
      </c>
      <c r="C493" s="18" t="s">
        <v>1404</v>
      </c>
      <c r="D493" s="18" t="s">
        <v>63</v>
      </c>
      <c r="E493" s="18" t="s">
        <v>63</v>
      </c>
      <c r="F493" s="18" t="s">
        <v>1582</v>
      </c>
      <c r="G493" s="18" t="s">
        <v>1615</v>
      </c>
      <c r="H493" s="18" t="s">
        <v>1622</v>
      </c>
      <c r="I493" s="18" t="s">
        <v>56</v>
      </c>
      <c r="J493" s="18" t="s">
        <v>57</v>
      </c>
      <c r="K493" s="25">
        <v>85122200</v>
      </c>
      <c r="L493" s="26"/>
      <c r="M493" s="26"/>
      <c r="N493" s="26"/>
      <c r="O493" s="26"/>
      <c r="P493" s="235" t="s">
        <v>1770</v>
      </c>
      <c r="Q493" s="89"/>
      <c r="R493" s="18">
        <v>1</v>
      </c>
      <c r="S493" s="218">
        <v>7000000</v>
      </c>
      <c r="T493" s="92" t="s">
        <v>63</v>
      </c>
      <c r="U493" s="18" t="s">
        <v>1293</v>
      </c>
      <c r="V493" s="228">
        <v>43235</v>
      </c>
      <c r="W493" s="184">
        <v>1</v>
      </c>
      <c r="X493" s="90"/>
      <c r="Y493" s="50"/>
      <c r="Z493" s="37"/>
      <c r="AA493" s="110" t="s">
        <v>1771</v>
      </c>
      <c r="AB493" s="40"/>
      <c r="AC493" s="18"/>
      <c r="AD493" s="34"/>
      <c r="AE493" s="222">
        <f>S493-Z493</f>
        <v>7000000</v>
      </c>
      <c r="AF493" s="90"/>
      <c r="AG493" s="256"/>
      <c r="AH493" s="256"/>
      <c r="AI493" s="124"/>
      <c r="AJ493" s="256"/>
      <c r="AK493" s="256"/>
      <c r="AL493" s="256"/>
      <c r="AM493" s="256"/>
      <c r="AN493" s="34"/>
      <c r="AO493" s="34"/>
      <c r="AP493" s="34" t="s">
        <v>1632</v>
      </c>
      <c r="AQ493" s="34"/>
      <c r="AR493" s="34"/>
      <c r="AS493" s="34"/>
      <c r="AT493" s="34"/>
    </row>
    <row r="494" spans="1:46" ht="38.25" x14ac:dyDescent="0.25">
      <c r="A494" s="18">
        <f t="shared" si="59"/>
        <v>97</v>
      </c>
      <c r="B494" s="18" t="s">
        <v>1772</v>
      </c>
      <c r="C494" s="18" t="s">
        <v>1404</v>
      </c>
      <c r="D494" s="18" t="s">
        <v>63</v>
      </c>
      <c r="E494" s="18" t="s">
        <v>63</v>
      </c>
      <c r="F494" s="18" t="s">
        <v>1582</v>
      </c>
      <c r="G494" s="18" t="s">
        <v>1615</v>
      </c>
      <c r="H494" s="18" t="s">
        <v>1622</v>
      </c>
      <c r="I494" s="18" t="s">
        <v>56</v>
      </c>
      <c r="J494" s="18" t="s">
        <v>57</v>
      </c>
      <c r="K494" s="25">
        <v>46180000</v>
      </c>
      <c r="L494" s="26"/>
      <c r="M494" s="26"/>
      <c r="N494" s="26"/>
      <c r="O494" s="26"/>
      <c r="P494" s="235" t="s">
        <v>1773</v>
      </c>
      <c r="Q494" s="89"/>
      <c r="R494" s="18">
        <v>1</v>
      </c>
      <c r="S494" s="218">
        <v>14104000</v>
      </c>
      <c r="T494" s="92" t="s">
        <v>63</v>
      </c>
      <c r="U494" s="18" t="s">
        <v>1625</v>
      </c>
      <c r="V494" s="228">
        <v>43284</v>
      </c>
      <c r="W494" s="184">
        <v>2</v>
      </c>
      <c r="X494" s="90"/>
      <c r="Y494" s="50"/>
      <c r="Z494" s="37"/>
      <c r="AA494" s="110" t="s">
        <v>1774</v>
      </c>
      <c r="AB494" s="40"/>
      <c r="AC494" s="18"/>
      <c r="AD494" s="34"/>
      <c r="AE494" s="222">
        <f>S494-Z494</f>
        <v>14104000</v>
      </c>
      <c r="AF494" s="90"/>
      <c r="AG494" s="256"/>
      <c r="AH494" s="256"/>
      <c r="AI494" s="124"/>
      <c r="AJ494" s="256"/>
      <c r="AK494" s="256"/>
      <c r="AL494" s="256"/>
      <c r="AM494" s="256"/>
      <c r="AN494" s="34"/>
      <c r="AO494" s="34"/>
      <c r="AP494" s="34" t="s">
        <v>1632</v>
      </c>
      <c r="AQ494" s="34"/>
      <c r="AR494" s="34"/>
      <c r="AS494" s="34"/>
      <c r="AT494" s="34"/>
    </row>
    <row r="495" spans="1:46" ht="51" x14ac:dyDescent="0.25">
      <c r="A495" s="18">
        <f t="shared" si="59"/>
        <v>98</v>
      </c>
      <c r="B495" s="18" t="s">
        <v>1775</v>
      </c>
      <c r="C495" s="18" t="s">
        <v>1404</v>
      </c>
      <c r="D495" s="18" t="s">
        <v>63</v>
      </c>
      <c r="E495" s="18" t="s">
        <v>63</v>
      </c>
      <c r="F495" s="18" t="s">
        <v>1582</v>
      </c>
      <c r="G495" s="18" t="s">
        <v>1615</v>
      </c>
      <c r="H495" s="18" t="s">
        <v>1622</v>
      </c>
      <c r="I495" s="18" t="s">
        <v>56</v>
      </c>
      <c r="J495" s="18" t="s">
        <v>57</v>
      </c>
      <c r="K495" s="25">
        <v>46140000</v>
      </c>
      <c r="L495" s="26"/>
      <c r="M495" s="26"/>
      <c r="N495" s="26"/>
      <c r="O495" s="26"/>
      <c r="P495" s="235" t="s">
        <v>1776</v>
      </c>
      <c r="Q495" s="89"/>
      <c r="R495" s="18">
        <v>1</v>
      </c>
      <c r="S495" s="218">
        <v>9000000</v>
      </c>
      <c r="T495" s="92" t="s">
        <v>63</v>
      </c>
      <c r="U495" s="18" t="s">
        <v>1625</v>
      </c>
      <c r="V495" s="228">
        <v>43352</v>
      </c>
      <c r="W495" s="184">
        <v>3</v>
      </c>
      <c r="X495" s="90"/>
      <c r="Y495" s="50"/>
      <c r="Z495" s="37"/>
      <c r="AA495" s="110" t="s">
        <v>1777</v>
      </c>
      <c r="AB495" s="40"/>
      <c r="AC495" s="18"/>
      <c r="AD495" s="34"/>
      <c r="AE495" s="222">
        <f>S495-Z495</f>
        <v>9000000</v>
      </c>
      <c r="AF495" s="90"/>
      <c r="AG495" s="256"/>
      <c r="AH495" s="256"/>
      <c r="AI495" s="124"/>
      <c r="AJ495" s="256"/>
      <c r="AK495" s="256"/>
      <c r="AL495" s="256"/>
      <c r="AM495" s="256"/>
      <c r="AN495" s="34"/>
      <c r="AO495" s="34"/>
      <c r="AP495" s="34" t="s">
        <v>1632</v>
      </c>
      <c r="AQ495" s="34"/>
      <c r="AR495" s="34"/>
      <c r="AS495" s="34"/>
      <c r="AT495" s="34"/>
    </row>
    <row r="496" spans="1:46" ht="25.5" x14ac:dyDescent="0.25">
      <c r="A496" s="18">
        <f t="shared" si="59"/>
        <v>99</v>
      </c>
      <c r="B496" s="18" t="s">
        <v>1778</v>
      </c>
      <c r="C496" s="18" t="s">
        <v>1404</v>
      </c>
      <c r="D496" s="18" t="s">
        <v>63</v>
      </c>
      <c r="E496" s="18" t="s">
        <v>63</v>
      </c>
      <c r="F496" s="18" t="s">
        <v>1582</v>
      </c>
      <c r="G496" s="18" t="s">
        <v>1583</v>
      </c>
      <c r="H496" s="18" t="s">
        <v>1657</v>
      </c>
      <c r="I496" s="18" t="s">
        <v>56</v>
      </c>
      <c r="J496" s="18" t="s">
        <v>57</v>
      </c>
      <c r="K496" s="25">
        <v>81161601</v>
      </c>
      <c r="L496" s="26"/>
      <c r="M496" s="26"/>
      <c r="N496" s="26"/>
      <c r="O496" s="26"/>
      <c r="P496" s="18" t="s">
        <v>1734</v>
      </c>
      <c r="Q496" s="89">
        <v>6000000</v>
      </c>
      <c r="R496" s="35">
        <v>1</v>
      </c>
      <c r="S496" s="110">
        <v>6000000</v>
      </c>
      <c r="T496" s="92" t="s">
        <v>63</v>
      </c>
      <c r="U496" s="92" t="s">
        <v>63</v>
      </c>
      <c r="V496" s="228">
        <v>43204</v>
      </c>
      <c r="W496" s="184">
        <v>8</v>
      </c>
      <c r="X496" s="90" t="s">
        <v>1779</v>
      </c>
      <c r="Y496" s="238">
        <v>43203</v>
      </c>
      <c r="Z496" s="248">
        <v>6000000</v>
      </c>
      <c r="AA496" s="110" t="s">
        <v>1780</v>
      </c>
      <c r="AB496" s="40"/>
      <c r="AC496" s="18"/>
      <c r="AD496" s="37"/>
      <c r="AE496" s="222">
        <f t="shared" ref="AE496" si="61">S496-Z496</f>
        <v>0</v>
      </c>
      <c r="AF496" s="90"/>
      <c r="AG496" s="256"/>
      <c r="AH496" s="256"/>
      <c r="AI496" s="124"/>
      <c r="AJ496" s="256"/>
      <c r="AK496" s="256"/>
      <c r="AL496" s="256"/>
      <c r="AM496" s="256"/>
      <c r="AN496" s="34"/>
      <c r="AO496" s="34"/>
      <c r="AP496" s="34" t="s">
        <v>1781</v>
      </c>
      <c r="AQ496" s="50">
        <v>43203</v>
      </c>
      <c r="AR496" s="34"/>
      <c r="AS496" s="50">
        <v>43203</v>
      </c>
      <c r="AT496" s="34"/>
    </row>
    <row r="497" spans="1:47" ht="78" customHeight="1" x14ac:dyDescent="0.25">
      <c r="A497" s="259">
        <v>1</v>
      </c>
      <c r="B497" s="259" t="s">
        <v>49</v>
      </c>
      <c r="C497" s="284" t="s">
        <v>50</v>
      </c>
      <c r="D497" s="284" t="s">
        <v>51</v>
      </c>
      <c r="E497" s="284" t="s">
        <v>52</v>
      </c>
      <c r="F497" s="285" t="s">
        <v>53</v>
      </c>
      <c r="G497" s="285" t="s">
        <v>54</v>
      </c>
      <c r="H497" s="284" t="s">
        <v>55</v>
      </c>
      <c r="I497" s="284" t="s">
        <v>56</v>
      </c>
      <c r="J497" s="284" t="s">
        <v>57</v>
      </c>
      <c r="K497" s="284">
        <v>80111600</v>
      </c>
      <c r="L497" s="284" t="s">
        <v>58</v>
      </c>
      <c r="M497" s="285" t="s">
        <v>59</v>
      </c>
      <c r="N497" s="284" t="s">
        <v>60</v>
      </c>
      <c r="O497" s="284" t="s">
        <v>61</v>
      </c>
      <c r="P497" s="285" t="s">
        <v>62</v>
      </c>
      <c r="Q497" s="89">
        <v>71495916.666666672</v>
      </c>
      <c r="R497" s="286">
        <v>8</v>
      </c>
      <c r="S497" s="89">
        <v>857951000</v>
      </c>
      <c r="T497" s="284" t="s">
        <v>63</v>
      </c>
      <c r="U497" s="284" t="s">
        <v>63</v>
      </c>
      <c r="V497" s="284">
        <v>43115</v>
      </c>
      <c r="W497" s="284">
        <v>12</v>
      </c>
      <c r="X497" s="284" t="s">
        <v>64</v>
      </c>
      <c r="Y497" s="284">
        <v>43109</v>
      </c>
      <c r="Z497" s="284">
        <v>857951000</v>
      </c>
      <c r="AA497" s="284"/>
      <c r="AB497" s="284">
        <v>441</v>
      </c>
      <c r="AC497" s="284" t="s">
        <v>1575</v>
      </c>
      <c r="AD497" s="284">
        <v>857951000</v>
      </c>
      <c r="AE497" s="284">
        <f t="shared" ref="AE497:AE505" si="62">S497-AD497</f>
        <v>0</v>
      </c>
      <c r="AF497" s="284">
        <v>441</v>
      </c>
      <c r="AG497" s="284">
        <v>757</v>
      </c>
      <c r="AH497" s="284">
        <v>43137</v>
      </c>
      <c r="AI497" s="89">
        <v>46765412</v>
      </c>
      <c r="AJ497" s="284" t="s">
        <v>310</v>
      </c>
      <c r="AK497" s="284">
        <v>10</v>
      </c>
      <c r="AL497" s="284"/>
      <c r="AM497" s="89">
        <v>46765412</v>
      </c>
      <c r="AN497" s="284" t="s">
        <v>1792</v>
      </c>
      <c r="AO497" s="284" t="s">
        <v>65</v>
      </c>
      <c r="AP497" s="284">
        <f t="shared" ref="AP497:AP560" si="63">S497-AI497</f>
        <v>811185588</v>
      </c>
      <c r="AQ497" s="284"/>
      <c r="AR497" s="284"/>
      <c r="AS497" s="284"/>
      <c r="AT497" s="284"/>
      <c r="AU497" s="260"/>
    </row>
    <row r="498" spans="1:47" ht="51" customHeight="1" x14ac:dyDescent="0.25">
      <c r="A498" s="259">
        <v>1</v>
      </c>
      <c r="B498" s="259" t="s">
        <v>49</v>
      </c>
      <c r="C498" s="284" t="s">
        <v>50</v>
      </c>
      <c r="D498" s="284" t="s">
        <v>51</v>
      </c>
      <c r="E498" s="284" t="s">
        <v>52</v>
      </c>
      <c r="F498" s="285" t="s">
        <v>53</v>
      </c>
      <c r="G498" s="285" t="s">
        <v>54</v>
      </c>
      <c r="H498" s="284" t="s">
        <v>55</v>
      </c>
      <c r="I498" s="260"/>
      <c r="J498" s="260"/>
      <c r="K498" s="260"/>
      <c r="L498" s="260"/>
      <c r="M498" s="260"/>
      <c r="N498" s="260"/>
      <c r="O498" s="260"/>
      <c r="P498" s="260"/>
      <c r="Q498" s="89"/>
      <c r="R498" s="262"/>
      <c r="S498" s="89"/>
      <c r="T498" s="260"/>
      <c r="U498" s="260"/>
      <c r="V498" s="263"/>
      <c r="W498" s="260"/>
      <c r="X498" s="259" t="s">
        <v>64</v>
      </c>
      <c r="Y498" s="263"/>
      <c r="Z498" s="261"/>
      <c r="AA498" s="260"/>
      <c r="AB498" s="289">
        <v>441</v>
      </c>
      <c r="AC498" s="264"/>
      <c r="AD498" s="265"/>
      <c r="AE498" s="265">
        <f t="shared" si="62"/>
        <v>0</v>
      </c>
      <c r="AF498" s="289">
        <v>441</v>
      </c>
      <c r="AG498" s="289">
        <v>1014</v>
      </c>
      <c r="AH498" s="290">
        <v>43140</v>
      </c>
      <c r="AI498" s="89">
        <v>13527500</v>
      </c>
      <c r="AJ498" s="291" t="s">
        <v>310</v>
      </c>
      <c r="AK498" s="292">
        <v>13</v>
      </c>
      <c r="AL498" s="264"/>
      <c r="AM498" s="89">
        <v>13527500</v>
      </c>
      <c r="AN498" s="291" t="s">
        <v>1792</v>
      </c>
      <c r="AO498" s="260" t="s">
        <v>65</v>
      </c>
      <c r="AP498" s="266">
        <f t="shared" si="63"/>
        <v>-13527500</v>
      </c>
      <c r="AQ498" s="260"/>
      <c r="AR498" s="263"/>
      <c r="AS498" s="260"/>
      <c r="AT498" s="263"/>
      <c r="AU498" s="260"/>
    </row>
    <row r="499" spans="1:47" ht="76.5" x14ac:dyDescent="0.25">
      <c r="A499" s="267">
        <v>1</v>
      </c>
      <c r="B499" s="267" t="s">
        <v>49</v>
      </c>
      <c r="C499" s="284" t="s">
        <v>50</v>
      </c>
      <c r="D499" s="284" t="s">
        <v>51</v>
      </c>
      <c r="E499" s="284" t="s">
        <v>52</v>
      </c>
      <c r="F499" s="285" t="s">
        <v>53</v>
      </c>
      <c r="G499" s="285" t="s">
        <v>54</v>
      </c>
      <c r="H499" s="284" t="s">
        <v>55</v>
      </c>
      <c r="I499" s="268"/>
      <c r="J499" s="268"/>
      <c r="K499" s="268"/>
      <c r="L499" s="268"/>
      <c r="M499" s="268"/>
      <c r="N499" s="268"/>
      <c r="O499" s="268"/>
      <c r="P499" s="268"/>
      <c r="Q499" s="89"/>
      <c r="R499" s="270"/>
      <c r="S499" s="89"/>
      <c r="T499" s="268"/>
      <c r="U499" s="268"/>
      <c r="V499" s="271"/>
      <c r="W499" s="268"/>
      <c r="X499" s="267" t="s">
        <v>64</v>
      </c>
      <c r="Y499" s="271"/>
      <c r="Z499" s="269"/>
      <c r="AA499" s="268"/>
      <c r="AB499" s="293">
        <v>441</v>
      </c>
      <c r="AC499" s="6"/>
      <c r="AD499" s="272"/>
      <c r="AE499" s="272">
        <f t="shared" si="62"/>
        <v>0</v>
      </c>
      <c r="AF499" s="293">
        <v>441</v>
      </c>
      <c r="AG499" s="293">
        <v>1015</v>
      </c>
      <c r="AH499" s="294">
        <v>43140</v>
      </c>
      <c r="AI499" s="89">
        <v>1296400</v>
      </c>
      <c r="AJ499" s="295" t="s">
        <v>310</v>
      </c>
      <c r="AK499" s="296">
        <v>14</v>
      </c>
      <c r="AL499" s="6"/>
      <c r="AM499" s="89">
        <v>1296400</v>
      </c>
      <c r="AN499" s="295" t="s">
        <v>1792</v>
      </c>
      <c r="AO499" s="268" t="s">
        <v>65</v>
      </c>
      <c r="AP499" s="273">
        <f t="shared" si="63"/>
        <v>-1296400</v>
      </c>
      <c r="AQ499" s="268"/>
      <c r="AR499" s="271"/>
      <c r="AS499" s="268"/>
      <c r="AT499" s="271"/>
      <c r="AU499" s="268"/>
    </row>
    <row r="500" spans="1:47" ht="76.5" x14ac:dyDescent="0.25">
      <c r="A500" s="267">
        <v>1</v>
      </c>
      <c r="B500" s="267" t="s">
        <v>49</v>
      </c>
      <c r="C500" s="284" t="s">
        <v>50</v>
      </c>
      <c r="D500" s="284" t="s">
        <v>51</v>
      </c>
      <c r="E500" s="284" t="s">
        <v>52</v>
      </c>
      <c r="F500" s="285" t="s">
        <v>53</v>
      </c>
      <c r="G500" s="285" t="s">
        <v>54</v>
      </c>
      <c r="H500" s="284" t="s">
        <v>55</v>
      </c>
      <c r="I500" s="268"/>
      <c r="J500" s="268"/>
      <c r="K500" s="268"/>
      <c r="L500" s="268"/>
      <c r="M500" s="268"/>
      <c r="N500" s="268"/>
      <c r="O500" s="268"/>
      <c r="P500" s="268"/>
      <c r="Q500" s="89"/>
      <c r="R500" s="270"/>
      <c r="S500" s="89"/>
      <c r="T500" s="268"/>
      <c r="U500" s="268"/>
      <c r="V500" s="271"/>
      <c r="W500" s="268"/>
      <c r="X500" s="267" t="s">
        <v>64</v>
      </c>
      <c r="Y500" s="271"/>
      <c r="Z500" s="269"/>
      <c r="AA500" s="268"/>
      <c r="AB500" s="293">
        <v>441</v>
      </c>
      <c r="AC500" s="6"/>
      <c r="AD500" s="272"/>
      <c r="AE500" s="272">
        <f t="shared" si="62"/>
        <v>0</v>
      </c>
      <c r="AF500" s="293">
        <v>441</v>
      </c>
      <c r="AG500" s="293">
        <v>1388</v>
      </c>
      <c r="AH500" s="294">
        <v>43151</v>
      </c>
      <c r="AI500" s="89">
        <v>37705914</v>
      </c>
      <c r="AJ500" s="295" t="s">
        <v>310</v>
      </c>
      <c r="AK500" s="296">
        <v>17</v>
      </c>
      <c r="AL500" s="6"/>
      <c r="AM500" s="89">
        <v>37705914</v>
      </c>
      <c r="AN500" s="295" t="s">
        <v>1792</v>
      </c>
      <c r="AO500" s="268" t="s">
        <v>65</v>
      </c>
      <c r="AP500" s="273">
        <f t="shared" si="63"/>
        <v>-37705914</v>
      </c>
      <c r="AQ500" s="268"/>
      <c r="AR500" s="271"/>
      <c r="AS500" s="268"/>
      <c r="AT500" s="271"/>
      <c r="AU500" s="268"/>
    </row>
    <row r="501" spans="1:47" ht="76.5" x14ac:dyDescent="0.25">
      <c r="A501" s="267">
        <v>1</v>
      </c>
      <c r="B501" s="267" t="s">
        <v>49</v>
      </c>
      <c r="C501" s="284" t="s">
        <v>50</v>
      </c>
      <c r="D501" s="284" t="s">
        <v>51</v>
      </c>
      <c r="E501" s="284" t="s">
        <v>52</v>
      </c>
      <c r="F501" s="285" t="s">
        <v>53</v>
      </c>
      <c r="G501" s="285" t="s">
        <v>54</v>
      </c>
      <c r="H501" s="284" t="s">
        <v>55</v>
      </c>
      <c r="I501" s="268"/>
      <c r="J501" s="268"/>
      <c r="K501" s="268"/>
      <c r="L501" s="268"/>
      <c r="M501" s="268"/>
      <c r="N501" s="268"/>
      <c r="O501" s="268"/>
      <c r="P501" s="268"/>
      <c r="Q501" s="89"/>
      <c r="R501" s="270"/>
      <c r="S501" s="89"/>
      <c r="T501" s="268"/>
      <c r="U501" s="268"/>
      <c r="V501" s="271"/>
      <c r="W501" s="268"/>
      <c r="X501" s="267" t="s">
        <v>64</v>
      </c>
      <c r="Y501" s="271"/>
      <c r="Z501" s="269"/>
      <c r="AA501" s="268"/>
      <c r="AB501" s="293">
        <v>441</v>
      </c>
      <c r="AC501" s="6"/>
      <c r="AD501" s="272"/>
      <c r="AE501" s="272">
        <f t="shared" si="62"/>
        <v>0</v>
      </c>
      <c r="AF501" s="293">
        <v>441</v>
      </c>
      <c r="AG501" s="293">
        <v>1389</v>
      </c>
      <c r="AH501" s="294">
        <v>43151</v>
      </c>
      <c r="AI501" s="89">
        <v>4317097</v>
      </c>
      <c r="AJ501" s="295" t="s">
        <v>310</v>
      </c>
      <c r="AK501" s="296">
        <v>17</v>
      </c>
      <c r="AL501" s="6"/>
      <c r="AM501" s="89">
        <v>4317097</v>
      </c>
      <c r="AN501" s="295" t="s">
        <v>1792</v>
      </c>
      <c r="AO501" s="268" t="s">
        <v>65</v>
      </c>
      <c r="AP501" s="273">
        <f t="shared" si="63"/>
        <v>-4317097</v>
      </c>
      <c r="AQ501" s="268"/>
      <c r="AR501" s="271"/>
      <c r="AS501" s="268"/>
      <c r="AT501" s="271"/>
      <c r="AU501" s="268"/>
    </row>
    <row r="502" spans="1:47" ht="76.5" x14ac:dyDescent="0.25">
      <c r="A502" s="267">
        <v>1</v>
      </c>
      <c r="B502" s="267" t="s">
        <v>49</v>
      </c>
      <c r="C502" s="284" t="s">
        <v>50</v>
      </c>
      <c r="D502" s="284" t="s">
        <v>51</v>
      </c>
      <c r="E502" s="284" t="s">
        <v>52</v>
      </c>
      <c r="F502" s="285" t="s">
        <v>53</v>
      </c>
      <c r="G502" s="285" t="s">
        <v>54</v>
      </c>
      <c r="H502" s="284" t="s">
        <v>55</v>
      </c>
      <c r="I502" s="268"/>
      <c r="J502" s="268"/>
      <c r="K502" s="268"/>
      <c r="L502" s="268"/>
      <c r="M502" s="268"/>
      <c r="N502" s="268"/>
      <c r="O502" s="268"/>
      <c r="P502" s="268"/>
      <c r="Q502" s="89"/>
      <c r="R502" s="270"/>
      <c r="S502" s="89"/>
      <c r="T502" s="268"/>
      <c r="U502" s="268"/>
      <c r="V502" s="271"/>
      <c r="W502" s="268"/>
      <c r="X502" s="267" t="s">
        <v>64</v>
      </c>
      <c r="Y502" s="271"/>
      <c r="Z502" s="269"/>
      <c r="AA502" s="268"/>
      <c r="AB502" s="293">
        <v>441</v>
      </c>
      <c r="AC502" s="6"/>
      <c r="AD502" s="272"/>
      <c r="AE502" s="272">
        <f t="shared" si="62"/>
        <v>0</v>
      </c>
      <c r="AF502" s="293">
        <v>441</v>
      </c>
      <c r="AG502" s="293">
        <v>1532</v>
      </c>
      <c r="AH502" s="294">
        <v>43165</v>
      </c>
      <c r="AI502" s="89">
        <v>1296400</v>
      </c>
      <c r="AJ502" s="295" t="s">
        <v>310</v>
      </c>
      <c r="AK502" s="296">
        <v>21</v>
      </c>
      <c r="AL502" s="6"/>
      <c r="AM502" s="89">
        <v>1296400</v>
      </c>
      <c r="AN502" s="295" t="s">
        <v>1792</v>
      </c>
      <c r="AO502" s="268" t="s">
        <v>65</v>
      </c>
      <c r="AP502" s="273">
        <f t="shared" si="63"/>
        <v>-1296400</v>
      </c>
      <c r="AQ502" s="268"/>
      <c r="AR502" s="271"/>
      <c r="AS502" s="268"/>
      <c r="AT502" s="271"/>
      <c r="AU502" s="268"/>
    </row>
    <row r="503" spans="1:47" ht="76.5" x14ac:dyDescent="0.25">
      <c r="A503" s="267">
        <v>1</v>
      </c>
      <c r="B503" s="267" t="s">
        <v>49</v>
      </c>
      <c r="C503" s="284" t="s">
        <v>50</v>
      </c>
      <c r="D503" s="284" t="s">
        <v>51</v>
      </c>
      <c r="E503" s="284" t="s">
        <v>52</v>
      </c>
      <c r="F503" s="285" t="s">
        <v>53</v>
      </c>
      <c r="G503" s="285" t="s">
        <v>54</v>
      </c>
      <c r="H503" s="284" t="s">
        <v>55</v>
      </c>
      <c r="I503" s="268"/>
      <c r="J503" s="268"/>
      <c r="K503" s="268"/>
      <c r="L503" s="268"/>
      <c r="M503" s="268"/>
      <c r="N503" s="268"/>
      <c r="O503" s="268"/>
      <c r="P503" s="268"/>
      <c r="Q503" s="89"/>
      <c r="R503" s="270"/>
      <c r="S503" s="89"/>
      <c r="T503" s="268"/>
      <c r="U503" s="268"/>
      <c r="V503" s="271"/>
      <c r="W503" s="268"/>
      <c r="X503" s="267" t="s">
        <v>64</v>
      </c>
      <c r="Y503" s="271"/>
      <c r="Z503" s="269"/>
      <c r="AA503" s="268"/>
      <c r="AB503" s="293">
        <v>441</v>
      </c>
      <c r="AC503" s="6"/>
      <c r="AD503" s="272"/>
      <c r="AE503" s="272">
        <f t="shared" si="62"/>
        <v>0</v>
      </c>
      <c r="AF503" s="293">
        <v>441</v>
      </c>
      <c r="AG503" s="293">
        <v>1536</v>
      </c>
      <c r="AH503" s="294">
        <v>43165</v>
      </c>
      <c r="AI503" s="89">
        <v>11308500</v>
      </c>
      <c r="AJ503" s="295" t="s">
        <v>310</v>
      </c>
      <c r="AK503" s="296">
        <v>22</v>
      </c>
      <c r="AL503" s="6"/>
      <c r="AM503" s="89">
        <v>11308500</v>
      </c>
      <c r="AN503" s="295" t="s">
        <v>1792</v>
      </c>
      <c r="AO503" s="268" t="s">
        <v>65</v>
      </c>
      <c r="AP503" s="273">
        <f t="shared" si="63"/>
        <v>-11308500</v>
      </c>
      <c r="AQ503" s="268"/>
      <c r="AR503" s="271"/>
      <c r="AS503" s="268"/>
      <c r="AT503" s="271"/>
      <c r="AU503" s="268"/>
    </row>
    <row r="504" spans="1:47" ht="76.5" x14ac:dyDescent="0.25">
      <c r="A504" s="267">
        <v>1</v>
      </c>
      <c r="B504" s="267" t="s">
        <v>49</v>
      </c>
      <c r="C504" s="284" t="s">
        <v>50</v>
      </c>
      <c r="D504" s="284" t="s">
        <v>51</v>
      </c>
      <c r="E504" s="284" t="s">
        <v>52</v>
      </c>
      <c r="F504" s="285" t="s">
        <v>53</v>
      </c>
      <c r="G504" s="285" t="s">
        <v>54</v>
      </c>
      <c r="H504" s="284" t="s">
        <v>55</v>
      </c>
      <c r="I504" s="268"/>
      <c r="J504" s="268"/>
      <c r="K504" s="268"/>
      <c r="L504" s="268"/>
      <c r="M504" s="268"/>
      <c r="N504" s="268"/>
      <c r="O504" s="268"/>
      <c r="P504" s="268"/>
      <c r="Q504" s="89"/>
      <c r="R504" s="270"/>
      <c r="S504" s="89"/>
      <c r="T504" s="268"/>
      <c r="U504" s="268"/>
      <c r="V504" s="271"/>
      <c r="W504" s="268"/>
      <c r="X504" s="267" t="s">
        <v>64</v>
      </c>
      <c r="Y504" s="271"/>
      <c r="Z504" s="269"/>
      <c r="AA504" s="268"/>
      <c r="AB504" s="293">
        <v>441</v>
      </c>
      <c r="AC504" s="6"/>
      <c r="AD504" s="272"/>
      <c r="AE504" s="272">
        <f t="shared" si="62"/>
        <v>0</v>
      </c>
      <c r="AF504" s="293">
        <v>441</v>
      </c>
      <c r="AG504" s="293">
        <v>1604</v>
      </c>
      <c r="AH504" s="294">
        <v>43180</v>
      </c>
      <c r="AI504" s="89">
        <v>5015176</v>
      </c>
      <c r="AJ504" s="295" t="s">
        <v>310</v>
      </c>
      <c r="AK504" s="296">
        <v>26</v>
      </c>
      <c r="AL504" s="6"/>
      <c r="AM504" s="89">
        <v>5015176</v>
      </c>
      <c r="AN504" s="295" t="s">
        <v>1792</v>
      </c>
      <c r="AO504" s="268" t="s">
        <v>65</v>
      </c>
      <c r="AP504" s="273">
        <f t="shared" si="63"/>
        <v>-5015176</v>
      </c>
      <c r="AQ504" s="268"/>
      <c r="AR504" s="271"/>
      <c r="AS504" s="268"/>
      <c r="AT504" s="271"/>
      <c r="AU504" s="268"/>
    </row>
    <row r="505" spans="1:47" ht="76.5" x14ac:dyDescent="0.25">
      <c r="A505" s="267">
        <v>1</v>
      </c>
      <c r="B505" s="267" t="s">
        <v>49</v>
      </c>
      <c r="C505" s="284" t="s">
        <v>50</v>
      </c>
      <c r="D505" s="284" t="s">
        <v>51</v>
      </c>
      <c r="E505" s="284" t="s">
        <v>52</v>
      </c>
      <c r="F505" s="285" t="s">
        <v>53</v>
      </c>
      <c r="G505" s="285" t="s">
        <v>54</v>
      </c>
      <c r="H505" s="284" t="s">
        <v>55</v>
      </c>
      <c r="I505" s="268"/>
      <c r="J505" s="268"/>
      <c r="K505" s="268"/>
      <c r="L505" s="268"/>
      <c r="M505" s="268"/>
      <c r="N505" s="268"/>
      <c r="O505" s="268"/>
      <c r="P505" s="268"/>
      <c r="Q505" s="89"/>
      <c r="R505" s="270"/>
      <c r="S505" s="89"/>
      <c r="T505" s="268"/>
      <c r="U505" s="268"/>
      <c r="V505" s="271"/>
      <c r="W505" s="268"/>
      <c r="X505" s="267" t="s">
        <v>64</v>
      </c>
      <c r="Y505" s="271"/>
      <c r="Z505" s="269"/>
      <c r="AA505" s="268"/>
      <c r="AB505" s="293">
        <v>441</v>
      </c>
      <c r="AC505" s="6"/>
      <c r="AD505" s="272"/>
      <c r="AE505" s="272">
        <f t="shared" si="62"/>
        <v>0</v>
      </c>
      <c r="AF505" s="293">
        <v>441</v>
      </c>
      <c r="AG505" s="293">
        <v>1609</v>
      </c>
      <c r="AH505" s="294">
        <v>43180</v>
      </c>
      <c r="AI505" s="89">
        <v>45154734</v>
      </c>
      <c r="AJ505" s="295" t="s">
        <v>310</v>
      </c>
      <c r="AK505" s="296">
        <v>25</v>
      </c>
      <c r="AL505" s="6"/>
      <c r="AM505" s="89">
        <v>45154734</v>
      </c>
      <c r="AN505" s="295" t="s">
        <v>1792</v>
      </c>
      <c r="AO505" s="268" t="s">
        <v>65</v>
      </c>
      <c r="AP505" s="273">
        <f t="shared" si="63"/>
        <v>-45154734</v>
      </c>
      <c r="AQ505" s="268"/>
      <c r="AR505" s="271"/>
      <c r="AS505" s="268"/>
      <c r="AT505" s="271"/>
      <c r="AU505" s="268"/>
    </row>
    <row r="506" spans="1:47" ht="76.5" x14ac:dyDescent="0.25">
      <c r="A506" s="267">
        <v>2</v>
      </c>
      <c r="B506" s="267" t="s">
        <v>66</v>
      </c>
      <c r="C506" s="284" t="s">
        <v>50</v>
      </c>
      <c r="D506" s="284" t="s">
        <v>51</v>
      </c>
      <c r="E506" s="284" t="s">
        <v>52</v>
      </c>
      <c r="F506" s="285" t="s">
        <v>53</v>
      </c>
      <c r="G506" s="285" t="s">
        <v>54</v>
      </c>
      <c r="H506" s="284" t="s">
        <v>55</v>
      </c>
      <c r="I506" s="268"/>
      <c r="J506" s="268"/>
      <c r="K506" s="268"/>
      <c r="L506" s="268"/>
      <c r="M506" s="268"/>
      <c r="N506" s="268"/>
      <c r="O506" s="268"/>
      <c r="P506" s="268"/>
      <c r="Q506" s="89"/>
      <c r="R506" s="270"/>
      <c r="S506" s="89"/>
      <c r="T506" s="268"/>
      <c r="U506" s="268"/>
      <c r="V506" s="271"/>
      <c r="W506" s="268"/>
      <c r="X506" s="267" t="s">
        <v>64</v>
      </c>
      <c r="Y506" s="271"/>
      <c r="Z506" s="269"/>
      <c r="AA506" s="268"/>
      <c r="AB506" s="293">
        <v>441</v>
      </c>
      <c r="AC506" s="6"/>
      <c r="AD506" s="272"/>
      <c r="AE506" s="272"/>
      <c r="AF506" s="293">
        <v>441</v>
      </c>
      <c r="AG506" s="293">
        <v>1796</v>
      </c>
      <c r="AH506" s="294">
        <v>43203</v>
      </c>
      <c r="AI506" s="89">
        <v>12179100</v>
      </c>
      <c r="AJ506" s="295" t="s">
        <v>310</v>
      </c>
      <c r="AK506" s="296">
        <v>28</v>
      </c>
      <c r="AL506" s="6"/>
      <c r="AM506" s="89">
        <v>12179100</v>
      </c>
      <c r="AN506" s="295" t="s">
        <v>1792</v>
      </c>
      <c r="AO506" s="268"/>
      <c r="AP506" s="273">
        <f t="shared" si="63"/>
        <v>-12179100</v>
      </c>
      <c r="AQ506" s="268"/>
      <c r="AR506" s="271"/>
      <c r="AS506" s="268"/>
      <c r="AT506" s="271"/>
      <c r="AU506" s="268"/>
    </row>
    <row r="507" spans="1:47" ht="76.5" x14ac:dyDescent="0.25">
      <c r="A507" s="267">
        <v>2</v>
      </c>
      <c r="B507" s="267" t="s">
        <v>66</v>
      </c>
      <c r="C507" s="284" t="s">
        <v>50</v>
      </c>
      <c r="D507" s="284" t="s">
        <v>51</v>
      </c>
      <c r="E507" s="284" t="s">
        <v>52</v>
      </c>
      <c r="F507" s="285" t="s">
        <v>53</v>
      </c>
      <c r="G507" s="285" t="s">
        <v>54</v>
      </c>
      <c r="H507" s="284" t="s">
        <v>55</v>
      </c>
      <c r="I507" s="268" t="s">
        <v>56</v>
      </c>
      <c r="J507" s="268" t="s">
        <v>57</v>
      </c>
      <c r="K507" s="268">
        <v>80111600</v>
      </c>
      <c r="L507" s="268" t="s">
        <v>58</v>
      </c>
      <c r="M507" s="268" t="s">
        <v>59</v>
      </c>
      <c r="N507" s="268" t="s">
        <v>60</v>
      </c>
      <c r="O507" s="268" t="s">
        <v>61</v>
      </c>
      <c r="P507" s="268" t="s">
        <v>1793</v>
      </c>
      <c r="Q507" s="89">
        <v>71070000</v>
      </c>
      <c r="R507" s="270">
        <v>1</v>
      </c>
      <c r="S507" s="89">
        <v>71070000</v>
      </c>
      <c r="T507" s="268" t="s">
        <v>67</v>
      </c>
      <c r="U507" s="268" t="s">
        <v>68</v>
      </c>
      <c r="V507" s="271">
        <v>43117</v>
      </c>
      <c r="W507" s="268">
        <v>11.5</v>
      </c>
      <c r="X507" s="267" t="s">
        <v>69</v>
      </c>
      <c r="Y507" s="271">
        <v>43112</v>
      </c>
      <c r="Z507" s="269">
        <v>71070000</v>
      </c>
      <c r="AA507" s="268" t="s">
        <v>70</v>
      </c>
      <c r="AB507" s="293">
        <v>518</v>
      </c>
      <c r="AC507" s="6" t="s">
        <v>1418</v>
      </c>
      <c r="AD507" s="272">
        <v>71070000</v>
      </c>
      <c r="AE507" s="272">
        <f>S507-AD507</f>
        <v>0</v>
      </c>
      <c r="AF507" s="293">
        <v>518</v>
      </c>
      <c r="AG507" s="293">
        <v>441</v>
      </c>
      <c r="AH507" s="294">
        <v>43125</v>
      </c>
      <c r="AI507" s="89">
        <v>71070000</v>
      </c>
      <c r="AJ507" s="295" t="s">
        <v>1794</v>
      </c>
      <c r="AK507" s="296">
        <v>380</v>
      </c>
      <c r="AL507" s="6"/>
      <c r="AM507" s="89">
        <v>13596000</v>
      </c>
      <c r="AN507" s="297">
        <v>57474000</v>
      </c>
      <c r="AO507" s="268" t="s">
        <v>65</v>
      </c>
      <c r="AP507" s="273">
        <f t="shared" si="63"/>
        <v>0</v>
      </c>
      <c r="AQ507" s="268" t="s">
        <v>71</v>
      </c>
      <c r="AR507" s="271">
        <v>43109</v>
      </c>
      <c r="AS507" s="268" t="s">
        <v>72</v>
      </c>
      <c r="AT507" s="271">
        <v>43109</v>
      </c>
      <c r="AU507" s="268"/>
    </row>
    <row r="508" spans="1:47" ht="76.5" x14ac:dyDescent="0.25">
      <c r="A508" s="267">
        <v>3</v>
      </c>
      <c r="B508" s="267" t="s">
        <v>73</v>
      </c>
      <c r="C508" s="284" t="s">
        <v>50</v>
      </c>
      <c r="D508" s="284" t="s">
        <v>51</v>
      </c>
      <c r="E508" s="284" t="s">
        <v>52</v>
      </c>
      <c r="F508" s="285" t="s">
        <v>53</v>
      </c>
      <c r="G508" s="285" t="s">
        <v>54</v>
      </c>
      <c r="H508" s="284" t="s">
        <v>55</v>
      </c>
      <c r="I508" s="268"/>
      <c r="J508" s="268"/>
      <c r="K508" s="268"/>
      <c r="L508" s="268"/>
      <c r="M508" s="268"/>
      <c r="N508" s="268"/>
      <c r="O508" s="268"/>
      <c r="P508" s="268"/>
      <c r="Q508" s="89"/>
      <c r="R508" s="270"/>
      <c r="S508" s="89"/>
      <c r="T508" s="268"/>
      <c r="U508" s="268"/>
      <c r="V508" s="271"/>
      <c r="W508" s="268"/>
      <c r="X508" s="267" t="s">
        <v>64</v>
      </c>
      <c r="Y508" s="271"/>
      <c r="Z508" s="269"/>
      <c r="AA508" s="268"/>
      <c r="AB508" s="293">
        <v>441</v>
      </c>
      <c r="AC508" s="6"/>
      <c r="AD508" s="272"/>
      <c r="AE508" s="272"/>
      <c r="AF508" s="293">
        <v>441</v>
      </c>
      <c r="AG508" s="293">
        <v>1799</v>
      </c>
      <c r="AH508" s="294">
        <v>43203</v>
      </c>
      <c r="AI508" s="89">
        <v>1366100</v>
      </c>
      <c r="AJ508" s="295" t="s">
        <v>310</v>
      </c>
      <c r="AK508" s="296">
        <v>29</v>
      </c>
      <c r="AL508" s="6"/>
      <c r="AM508" s="89">
        <v>1366100</v>
      </c>
      <c r="AN508" s="295" t="s">
        <v>1792</v>
      </c>
      <c r="AO508" s="268"/>
      <c r="AP508" s="273">
        <f t="shared" si="63"/>
        <v>-1366100</v>
      </c>
      <c r="AQ508" s="268"/>
      <c r="AR508" s="271"/>
      <c r="AS508" s="268"/>
      <c r="AT508" s="271"/>
      <c r="AU508" s="268"/>
    </row>
    <row r="509" spans="1:47" ht="76.5" x14ac:dyDescent="0.25">
      <c r="A509" s="267">
        <v>3</v>
      </c>
      <c r="B509" s="267" t="s">
        <v>73</v>
      </c>
      <c r="C509" s="284" t="s">
        <v>50</v>
      </c>
      <c r="D509" s="284" t="s">
        <v>51</v>
      </c>
      <c r="E509" s="284" t="s">
        <v>52</v>
      </c>
      <c r="F509" s="285" t="s">
        <v>53</v>
      </c>
      <c r="G509" s="285" t="s">
        <v>54</v>
      </c>
      <c r="H509" s="284" t="s">
        <v>55</v>
      </c>
      <c r="I509" s="268" t="s">
        <v>56</v>
      </c>
      <c r="J509" s="268" t="s">
        <v>57</v>
      </c>
      <c r="K509" s="268">
        <v>80111600</v>
      </c>
      <c r="L509" s="268" t="s">
        <v>58</v>
      </c>
      <c r="M509" s="268" t="s">
        <v>59</v>
      </c>
      <c r="N509" s="268" t="s">
        <v>60</v>
      </c>
      <c r="O509" s="268" t="s">
        <v>61</v>
      </c>
      <c r="P509" s="268" t="s">
        <v>74</v>
      </c>
      <c r="Q509" s="89">
        <v>6695000</v>
      </c>
      <c r="R509" s="270">
        <v>1</v>
      </c>
      <c r="S509" s="89">
        <v>70513900</v>
      </c>
      <c r="T509" s="268" t="s">
        <v>67</v>
      </c>
      <c r="U509" s="268" t="s">
        <v>68</v>
      </c>
      <c r="V509" s="271">
        <v>43112</v>
      </c>
      <c r="W509" s="268">
        <v>11</v>
      </c>
      <c r="X509" s="274" t="s">
        <v>1795</v>
      </c>
      <c r="Y509" s="271">
        <v>43112</v>
      </c>
      <c r="Z509" s="269">
        <v>39088500</v>
      </c>
      <c r="AA509" s="268" t="s">
        <v>75</v>
      </c>
      <c r="AB509" s="293">
        <v>525</v>
      </c>
      <c r="AC509" s="6" t="s">
        <v>1418</v>
      </c>
      <c r="AD509" s="272">
        <v>37389000</v>
      </c>
      <c r="AE509" s="272">
        <f>S509-AD509</f>
        <v>33124900</v>
      </c>
      <c r="AF509" s="293">
        <v>525</v>
      </c>
      <c r="AG509" s="293">
        <v>440</v>
      </c>
      <c r="AH509" s="294">
        <v>43125</v>
      </c>
      <c r="AI509" s="89">
        <v>37389000</v>
      </c>
      <c r="AJ509" s="295" t="s">
        <v>1796</v>
      </c>
      <c r="AK509" s="296">
        <v>378</v>
      </c>
      <c r="AL509" s="6"/>
      <c r="AM509" s="89">
        <v>7364500</v>
      </c>
      <c r="AN509" s="297">
        <v>30024500</v>
      </c>
      <c r="AO509" s="268" t="s">
        <v>76</v>
      </c>
      <c r="AP509" s="273">
        <f t="shared" si="63"/>
        <v>33124900</v>
      </c>
      <c r="AQ509" s="268" t="s">
        <v>71</v>
      </c>
      <c r="AR509" s="271"/>
      <c r="AS509" s="268"/>
      <c r="AT509" s="271"/>
      <c r="AU509" s="268"/>
    </row>
    <row r="510" spans="1:47" ht="76.5" x14ac:dyDescent="0.25">
      <c r="A510" s="267">
        <v>4</v>
      </c>
      <c r="B510" s="267" t="s">
        <v>77</v>
      </c>
      <c r="C510" s="284" t="s">
        <v>50</v>
      </c>
      <c r="D510" s="284" t="s">
        <v>51</v>
      </c>
      <c r="E510" s="284" t="s">
        <v>52</v>
      </c>
      <c r="F510" s="285" t="s">
        <v>53</v>
      </c>
      <c r="G510" s="285" t="s">
        <v>54</v>
      </c>
      <c r="H510" s="284" t="s">
        <v>55</v>
      </c>
      <c r="I510" s="268" t="s">
        <v>56</v>
      </c>
      <c r="J510" s="268" t="s">
        <v>57</v>
      </c>
      <c r="K510" s="268">
        <v>80111600</v>
      </c>
      <c r="L510" s="268" t="s">
        <v>58</v>
      </c>
      <c r="M510" s="268" t="s">
        <v>59</v>
      </c>
      <c r="N510" s="268" t="s">
        <v>60</v>
      </c>
      <c r="O510" s="268" t="s">
        <v>61</v>
      </c>
      <c r="P510" s="268" t="s">
        <v>78</v>
      </c>
      <c r="Q510" s="89">
        <v>6180000</v>
      </c>
      <c r="R510" s="270">
        <v>1</v>
      </c>
      <c r="S510" s="89">
        <v>67980000</v>
      </c>
      <c r="T510" s="268" t="s">
        <v>67</v>
      </c>
      <c r="U510" s="268" t="s">
        <v>68</v>
      </c>
      <c r="V510" s="271">
        <v>43112</v>
      </c>
      <c r="W510" s="268">
        <v>11</v>
      </c>
      <c r="X510" s="267" t="s">
        <v>79</v>
      </c>
      <c r="Y510" s="271">
        <v>43102</v>
      </c>
      <c r="Z510" s="269">
        <v>67980000</v>
      </c>
      <c r="AA510" s="268"/>
      <c r="AB510" s="293">
        <v>61</v>
      </c>
      <c r="AC510" s="6" t="s">
        <v>1481</v>
      </c>
      <c r="AD510" s="272">
        <v>67980000</v>
      </c>
      <c r="AE510" s="272">
        <f>S510-AD510</f>
        <v>0</v>
      </c>
      <c r="AF510" s="293">
        <v>61</v>
      </c>
      <c r="AG510" s="293">
        <v>114</v>
      </c>
      <c r="AH510" s="294">
        <v>43117</v>
      </c>
      <c r="AI510" s="89">
        <v>67980000</v>
      </c>
      <c r="AJ510" s="295" t="s">
        <v>1797</v>
      </c>
      <c r="AK510" s="296">
        <v>87</v>
      </c>
      <c r="AL510" s="6"/>
      <c r="AM510" s="89">
        <v>15244000</v>
      </c>
      <c r="AN510" s="297">
        <v>52736000</v>
      </c>
      <c r="AO510" s="268" t="s">
        <v>76</v>
      </c>
      <c r="AP510" s="273">
        <f t="shared" si="63"/>
        <v>0</v>
      </c>
      <c r="AQ510" s="268"/>
      <c r="AR510" s="271"/>
      <c r="AS510" s="268"/>
      <c r="AT510" s="271"/>
      <c r="AU510" s="268"/>
    </row>
    <row r="511" spans="1:47" ht="76.5" x14ac:dyDescent="0.25">
      <c r="A511" s="267">
        <v>4</v>
      </c>
      <c r="B511" s="267" t="s">
        <v>77</v>
      </c>
      <c r="C511" s="284" t="s">
        <v>50</v>
      </c>
      <c r="D511" s="284" t="s">
        <v>51</v>
      </c>
      <c r="E511" s="284" t="s">
        <v>52</v>
      </c>
      <c r="F511" s="285" t="s">
        <v>53</v>
      </c>
      <c r="G511" s="285" t="s">
        <v>54</v>
      </c>
      <c r="H511" s="284" t="s">
        <v>55</v>
      </c>
      <c r="I511" s="268"/>
      <c r="J511" s="268"/>
      <c r="K511" s="268"/>
      <c r="L511" s="268"/>
      <c r="M511" s="268"/>
      <c r="N511" s="268"/>
      <c r="O511" s="268"/>
      <c r="P511" s="268"/>
      <c r="Q511" s="89"/>
      <c r="R511" s="270"/>
      <c r="S511" s="89"/>
      <c r="T511" s="268"/>
      <c r="U511" s="268"/>
      <c r="V511" s="271"/>
      <c r="W511" s="268"/>
      <c r="X511" s="267" t="s">
        <v>64</v>
      </c>
      <c r="Y511" s="271"/>
      <c r="Z511" s="269"/>
      <c r="AA511" s="268"/>
      <c r="AB511" s="293">
        <v>441</v>
      </c>
      <c r="AC511" s="6"/>
      <c r="AD511" s="272"/>
      <c r="AE511" s="272"/>
      <c r="AF511" s="293">
        <v>441</v>
      </c>
      <c r="AG511" s="293">
        <v>1834</v>
      </c>
      <c r="AH511" s="294">
        <v>43213</v>
      </c>
      <c r="AI511" s="89">
        <v>39714400</v>
      </c>
      <c r="AJ511" s="295" t="s">
        <v>310</v>
      </c>
      <c r="AK511" s="296">
        <v>31</v>
      </c>
      <c r="AL511" s="6"/>
      <c r="AM511" s="89">
        <v>39714400</v>
      </c>
      <c r="AN511" s="295" t="s">
        <v>1792</v>
      </c>
      <c r="AO511" s="268"/>
      <c r="AP511" s="273">
        <f t="shared" si="63"/>
        <v>-39714400</v>
      </c>
      <c r="AQ511" s="268"/>
      <c r="AR511" s="271"/>
      <c r="AS511" s="268"/>
      <c r="AT511" s="271"/>
      <c r="AU511" s="268"/>
    </row>
    <row r="512" spans="1:47" ht="76.5" x14ac:dyDescent="0.25">
      <c r="A512" s="267">
        <v>5</v>
      </c>
      <c r="B512" s="267" t="s">
        <v>80</v>
      </c>
      <c r="C512" s="284" t="s">
        <v>50</v>
      </c>
      <c r="D512" s="284" t="s">
        <v>51</v>
      </c>
      <c r="E512" s="284" t="s">
        <v>52</v>
      </c>
      <c r="F512" s="285" t="s">
        <v>53</v>
      </c>
      <c r="G512" s="285" t="s">
        <v>54</v>
      </c>
      <c r="H512" s="284" t="s">
        <v>55</v>
      </c>
      <c r="I512" s="268" t="s">
        <v>56</v>
      </c>
      <c r="J512" s="268" t="s">
        <v>57</v>
      </c>
      <c r="K512" s="268">
        <v>80111600</v>
      </c>
      <c r="L512" s="268" t="s">
        <v>58</v>
      </c>
      <c r="M512" s="268" t="s">
        <v>59</v>
      </c>
      <c r="N512" s="268" t="s">
        <v>60</v>
      </c>
      <c r="O512" s="268" t="s">
        <v>61</v>
      </c>
      <c r="P512" s="268" t="s">
        <v>81</v>
      </c>
      <c r="Q512" s="89">
        <v>6180000</v>
      </c>
      <c r="R512" s="270">
        <v>1</v>
      </c>
      <c r="S512" s="89">
        <v>67980000</v>
      </c>
      <c r="T512" s="268" t="s">
        <v>67</v>
      </c>
      <c r="U512" s="268" t="s">
        <v>68</v>
      </c>
      <c r="V512" s="271">
        <v>43112</v>
      </c>
      <c r="W512" s="268">
        <v>11</v>
      </c>
      <c r="X512" s="267" t="s">
        <v>82</v>
      </c>
      <c r="Y512" s="271">
        <v>43102</v>
      </c>
      <c r="Z512" s="269">
        <v>67980000</v>
      </c>
      <c r="AA512" s="268"/>
      <c r="AB512" s="293">
        <v>62</v>
      </c>
      <c r="AC512" s="6" t="s">
        <v>1481</v>
      </c>
      <c r="AD512" s="272">
        <v>67980000</v>
      </c>
      <c r="AE512" s="272">
        <f>S512-AD512</f>
        <v>0</v>
      </c>
      <c r="AF512" s="293">
        <v>62</v>
      </c>
      <c r="AG512" s="293">
        <v>107</v>
      </c>
      <c r="AH512" s="294">
        <v>43116</v>
      </c>
      <c r="AI512" s="89">
        <v>67980000</v>
      </c>
      <c r="AJ512" s="295" t="s">
        <v>1798</v>
      </c>
      <c r="AK512" s="296">
        <v>70</v>
      </c>
      <c r="AL512" s="6"/>
      <c r="AM512" s="89">
        <v>15244000</v>
      </c>
      <c r="AN512" s="297">
        <v>52736000</v>
      </c>
      <c r="AO512" s="268" t="s">
        <v>76</v>
      </c>
      <c r="AP512" s="273">
        <f t="shared" si="63"/>
        <v>0</v>
      </c>
      <c r="AQ512" s="268"/>
      <c r="AR512" s="271"/>
      <c r="AS512" s="268"/>
      <c r="AT512" s="271"/>
      <c r="AU512" s="268"/>
    </row>
    <row r="513" spans="1:47" ht="76.5" x14ac:dyDescent="0.25">
      <c r="A513" s="267">
        <v>5</v>
      </c>
      <c r="B513" s="267" t="s">
        <v>80</v>
      </c>
      <c r="C513" s="284" t="s">
        <v>50</v>
      </c>
      <c r="D513" s="284" t="s">
        <v>51</v>
      </c>
      <c r="E513" s="284" t="s">
        <v>52</v>
      </c>
      <c r="F513" s="285" t="s">
        <v>53</v>
      </c>
      <c r="G513" s="285" t="s">
        <v>54</v>
      </c>
      <c r="H513" s="284" t="s">
        <v>55</v>
      </c>
      <c r="I513" s="268"/>
      <c r="J513" s="268"/>
      <c r="K513" s="268"/>
      <c r="L513" s="268"/>
      <c r="M513" s="268"/>
      <c r="N513" s="268"/>
      <c r="O513" s="268"/>
      <c r="P513" s="268"/>
      <c r="Q513" s="89"/>
      <c r="R513" s="270"/>
      <c r="S513" s="89"/>
      <c r="T513" s="268"/>
      <c r="U513" s="268"/>
      <c r="V513" s="271"/>
      <c r="W513" s="268"/>
      <c r="X513" s="267" t="s">
        <v>64</v>
      </c>
      <c r="Y513" s="271"/>
      <c r="Z513" s="269"/>
      <c r="AA513" s="268"/>
      <c r="AB513" s="293">
        <v>441</v>
      </c>
      <c r="AC513" s="6"/>
      <c r="AD513" s="272"/>
      <c r="AE513" s="272"/>
      <c r="AF513" s="293">
        <v>441</v>
      </c>
      <c r="AG513" s="293">
        <v>1835</v>
      </c>
      <c r="AH513" s="294">
        <v>43213</v>
      </c>
      <c r="AI513" s="89">
        <v>4549790</v>
      </c>
      <c r="AJ513" s="295" t="s">
        <v>310</v>
      </c>
      <c r="AK513" s="296">
        <v>30</v>
      </c>
      <c r="AL513" s="6"/>
      <c r="AM513" s="89">
        <v>4549790</v>
      </c>
      <c r="AN513" s="295" t="s">
        <v>1792</v>
      </c>
      <c r="AO513" s="268"/>
      <c r="AP513" s="273">
        <f t="shared" si="63"/>
        <v>-4549790</v>
      </c>
      <c r="AQ513" s="268"/>
      <c r="AR513" s="271"/>
      <c r="AS513" s="268"/>
      <c r="AT513" s="271"/>
      <c r="AU513" s="268"/>
    </row>
    <row r="514" spans="1:47" ht="76.5" x14ac:dyDescent="0.25">
      <c r="A514" s="267">
        <v>6</v>
      </c>
      <c r="B514" s="267" t="s">
        <v>83</v>
      </c>
      <c r="C514" s="284" t="s">
        <v>50</v>
      </c>
      <c r="D514" s="284" t="s">
        <v>51</v>
      </c>
      <c r="E514" s="284" t="s">
        <v>52</v>
      </c>
      <c r="F514" s="285" t="s">
        <v>53</v>
      </c>
      <c r="G514" s="285" t="s">
        <v>54</v>
      </c>
      <c r="H514" s="284" t="s">
        <v>55</v>
      </c>
      <c r="I514" s="268" t="s">
        <v>56</v>
      </c>
      <c r="J514" s="268" t="s">
        <v>57</v>
      </c>
      <c r="K514" s="268">
        <v>80111600</v>
      </c>
      <c r="L514" s="268" t="s">
        <v>58</v>
      </c>
      <c r="M514" s="268" t="s">
        <v>59</v>
      </c>
      <c r="N514" s="268" t="s">
        <v>60</v>
      </c>
      <c r="O514" s="268" t="s">
        <v>61</v>
      </c>
      <c r="P514" s="268" t="s">
        <v>84</v>
      </c>
      <c r="Q514" s="89">
        <v>4120000</v>
      </c>
      <c r="R514" s="270">
        <v>1</v>
      </c>
      <c r="S514" s="89">
        <v>45320000</v>
      </c>
      <c r="T514" s="268" t="s">
        <v>67</v>
      </c>
      <c r="U514" s="268" t="s">
        <v>68</v>
      </c>
      <c r="V514" s="271">
        <v>43112</v>
      </c>
      <c r="W514" s="268">
        <v>11</v>
      </c>
      <c r="X514" s="267" t="s">
        <v>85</v>
      </c>
      <c r="Y514" s="271">
        <v>43102</v>
      </c>
      <c r="Z514" s="269">
        <v>45320000</v>
      </c>
      <c r="AA514" s="268"/>
      <c r="AB514" s="293">
        <v>63</v>
      </c>
      <c r="AC514" s="6" t="s">
        <v>1481</v>
      </c>
      <c r="AD514" s="272">
        <v>45320000</v>
      </c>
      <c r="AE514" s="272">
        <f t="shared" ref="AE514:AE566" si="64">S514-AD514</f>
        <v>0</v>
      </c>
      <c r="AF514" s="293">
        <v>63</v>
      </c>
      <c r="AG514" s="293">
        <v>81</v>
      </c>
      <c r="AH514" s="294">
        <v>43116</v>
      </c>
      <c r="AI514" s="89">
        <v>45320000</v>
      </c>
      <c r="AJ514" s="295" t="s">
        <v>1799</v>
      </c>
      <c r="AK514" s="296">
        <v>66</v>
      </c>
      <c r="AL514" s="6"/>
      <c r="AM514" s="89">
        <v>10162667</v>
      </c>
      <c r="AN514" s="297">
        <v>35157333</v>
      </c>
      <c r="AO514" s="268" t="s">
        <v>76</v>
      </c>
      <c r="AP514" s="273">
        <f t="shared" si="63"/>
        <v>0</v>
      </c>
      <c r="AQ514" s="268"/>
      <c r="AR514" s="271"/>
      <c r="AS514" s="268"/>
      <c r="AT514" s="271"/>
      <c r="AU514" s="268"/>
    </row>
    <row r="515" spans="1:47" ht="76.5" x14ac:dyDescent="0.25">
      <c r="A515" s="267">
        <v>7</v>
      </c>
      <c r="B515" s="267" t="s">
        <v>86</v>
      </c>
      <c r="C515" s="284" t="s">
        <v>50</v>
      </c>
      <c r="D515" s="284" t="s">
        <v>51</v>
      </c>
      <c r="E515" s="284" t="s">
        <v>52</v>
      </c>
      <c r="F515" s="285" t="s">
        <v>53</v>
      </c>
      <c r="G515" s="285" t="s">
        <v>54</v>
      </c>
      <c r="H515" s="284" t="s">
        <v>55</v>
      </c>
      <c r="I515" s="268" t="s">
        <v>56</v>
      </c>
      <c r="J515" s="268" t="s">
        <v>57</v>
      </c>
      <c r="K515" s="268">
        <v>80111600</v>
      </c>
      <c r="L515" s="268" t="s">
        <v>58</v>
      </c>
      <c r="M515" s="268" t="s">
        <v>59</v>
      </c>
      <c r="N515" s="268" t="s">
        <v>60</v>
      </c>
      <c r="O515" s="268" t="s">
        <v>61</v>
      </c>
      <c r="P515" s="268" t="s">
        <v>84</v>
      </c>
      <c r="Q515" s="89">
        <v>5665000</v>
      </c>
      <c r="R515" s="270">
        <v>1</v>
      </c>
      <c r="S515" s="89">
        <v>62315000</v>
      </c>
      <c r="T515" s="268" t="s">
        <v>67</v>
      </c>
      <c r="U515" s="268" t="s">
        <v>68</v>
      </c>
      <c r="V515" s="271">
        <v>43112</v>
      </c>
      <c r="W515" s="268">
        <v>11</v>
      </c>
      <c r="X515" s="267" t="s">
        <v>87</v>
      </c>
      <c r="Y515" s="271">
        <v>43102</v>
      </c>
      <c r="Z515" s="269">
        <v>62315000</v>
      </c>
      <c r="AA515" s="268"/>
      <c r="AB515" s="293">
        <v>65</v>
      </c>
      <c r="AC515" s="6" t="s">
        <v>1481</v>
      </c>
      <c r="AD515" s="272">
        <v>55403700</v>
      </c>
      <c r="AE515" s="272">
        <f t="shared" si="64"/>
        <v>6911300</v>
      </c>
      <c r="AF515" s="293">
        <v>65</v>
      </c>
      <c r="AG515" s="293">
        <v>14</v>
      </c>
      <c r="AH515" s="294">
        <v>43112</v>
      </c>
      <c r="AI515" s="89">
        <v>55403700</v>
      </c>
      <c r="AJ515" s="295" t="s">
        <v>1800</v>
      </c>
      <c r="AK515" s="296">
        <v>8</v>
      </c>
      <c r="AL515" s="6"/>
      <c r="AM515" s="89">
        <v>12759640</v>
      </c>
      <c r="AN515" s="297">
        <v>42644060</v>
      </c>
      <c r="AO515" s="268" t="s">
        <v>76</v>
      </c>
      <c r="AP515" s="273">
        <f t="shared" si="63"/>
        <v>6911300</v>
      </c>
      <c r="AQ515" s="268"/>
      <c r="AR515" s="271"/>
      <c r="AS515" s="268"/>
      <c r="AT515" s="271"/>
      <c r="AU515" s="268"/>
    </row>
    <row r="516" spans="1:47" ht="76.5" x14ac:dyDescent="0.25">
      <c r="A516" s="267">
        <v>8</v>
      </c>
      <c r="B516" s="267" t="s">
        <v>88</v>
      </c>
      <c r="C516" s="284" t="s">
        <v>50</v>
      </c>
      <c r="D516" s="284" t="s">
        <v>51</v>
      </c>
      <c r="E516" s="284" t="s">
        <v>89</v>
      </c>
      <c r="F516" s="285" t="s">
        <v>53</v>
      </c>
      <c r="G516" s="285" t="s">
        <v>54</v>
      </c>
      <c r="H516" s="284" t="s">
        <v>55</v>
      </c>
      <c r="I516" s="268" t="s">
        <v>56</v>
      </c>
      <c r="J516" s="268" t="s">
        <v>57</v>
      </c>
      <c r="K516" s="268">
        <v>80111600</v>
      </c>
      <c r="L516" s="268" t="s">
        <v>58</v>
      </c>
      <c r="M516" s="268" t="s">
        <v>59</v>
      </c>
      <c r="N516" s="268" t="s">
        <v>60</v>
      </c>
      <c r="O516" s="268" t="s">
        <v>61</v>
      </c>
      <c r="P516" s="268" t="s">
        <v>90</v>
      </c>
      <c r="Q516" s="89">
        <v>5036700</v>
      </c>
      <c r="R516" s="270">
        <v>1</v>
      </c>
      <c r="S516" s="89">
        <v>57922050</v>
      </c>
      <c r="T516" s="268" t="s">
        <v>67</v>
      </c>
      <c r="U516" s="268" t="s">
        <v>68</v>
      </c>
      <c r="V516" s="271">
        <v>43112</v>
      </c>
      <c r="W516" s="268">
        <v>11.5</v>
      </c>
      <c r="X516" s="267" t="s">
        <v>91</v>
      </c>
      <c r="Y516" s="271">
        <v>43102</v>
      </c>
      <c r="Z516" s="269">
        <v>57922050</v>
      </c>
      <c r="AA516" s="268"/>
      <c r="AB516" s="293">
        <v>67</v>
      </c>
      <c r="AC516" s="6" t="s">
        <v>1481</v>
      </c>
      <c r="AD516" s="272">
        <v>30220200</v>
      </c>
      <c r="AE516" s="272">
        <f t="shared" si="64"/>
        <v>27701850</v>
      </c>
      <c r="AF516" s="293">
        <v>67</v>
      </c>
      <c r="AG516" s="293">
        <v>237</v>
      </c>
      <c r="AH516" s="294">
        <v>43119</v>
      </c>
      <c r="AI516" s="89">
        <v>30220200</v>
      </c>
      <c r="AJ516" s="295" t="s">
        <v>1801</v>
      </c>
      <c r="AK516" s="296">
        <v>207</v>
      </c>
      <c r="AL516" s="6"/>
      <c r="AM516" s="89">
        <v>12088080</v>
      </c>
      <c r="AN516" s="297">
        <v>18132120</v>
      </c>
      <c r="AO516" s="268" t="s">
        <v>92</v>
      </c>
      <c r="AP516" s="273">
        <f t="shared" si="63"/>
        <v>27701850</v>
      </c>
      <c r="AQ516" s="268"/>
      <c r="AR516" s="271"/>
      <c r="AS516" s="268"/>
      <c r="AT516" s="271"/>
      <c r="AU516" s="268"/>
    </row>
    <row r="517" spans="1:47" ht="76.5" x14ac:dyDescent="0.25">
      <c r="A517" s="267">
        <v>9</v>
      </c>
      <c r="B517" s="267" t="s">
        <v>93</v>
      </c>
      <c r="C517" s="284" t="s">
        <v>50</v>
      </c>
      <c r="D517" s="284" t="s">
        <v>51</v>
      </c>
      <c r="E517" s="284" t="s">
        <v>89</v>
      </c>
      <c r="F517" s="285" t="s">
        <v>53</v>
      </c>
      <c r="G517" s="285" t="s">
        <v>54</v>
      </c>
      <c r="H517" s="284" t="s">
        <v>55</v>
      </c>
      <c r="I517" s="268" t="s">
        <v>56</v>
      </c>
      <c r="J517" s="268" t="s">
        <v>57</v>
      </c>
      <c r="K517" s="268">
        <v>80111600</v>
      </c>
      <c r="L517" s="268" t="s">
        <v>58</v>
      </c>
      <c r="M517" s="268" t="s">
        <v>59</v>
      </c>
      <c r="N517" s="268" t="s">
        <v>60</v>
      </c>
      <c r="O517" s="268" t="s">
        <v>61</v>
      </c>
      <c r="P517" s="268" t="s">
        <v>94</v>
      </c>
      <c r="Q517" s="89">
        <v>5665000</v>
      </c>
      <c r="R517" s="270">
        <v>1</v>
      </c>
      <c r="S517" s="89">
        <v>65147500</v>
      </c>
      <c r="T517" s="268" t="s">
        <v>67</v>
      </c>
      <c r="U517" s="268" t="s">
        <v>68</v>
      </c>
      <c r="V517" s="271">
        <v>43112</v>
      </c>
      <c r="W517" s="268">
        <v>11.5</v>
      </c>
      <c r="X517" s="267" t="s">
        <v>95</v>
      </c>
      <c r="Y517" s="271">
        <v>43102</v>
      </c>
      <c r="Z517" s="269">
        <v>65147500</v>
      </c>
      <c r="AA517" s="268"/>
      <c r="AB517" s="293">
        <v>68</v>
      </c>
      <c r="AC517" s="6" t="s">
        <v>1481</v>
      </c>
      <c r="AD517" s="272">
        <v>33990000</v>
      </c>
      <c r="AE517" s="272">
        <f t="shared" si="64"/>
        <v>31157500</v>
      </c>
      <c r="AF517" s="293">
        <v>68</v>
      </c>
      <c r="AG517" s="293">
        <v>254</v>
      </c>
      <c r="AH517" s="294">
        <v>43119</v>
      </c>
      <c r="AI517" s="89">
        <v>33990000</v>
      </c>
      <c r="AJ517" s="295" t="s">
        <v>1802</v>
      </c>
      <c r="AK517" s="296">
        <v>223</v>
      </c>
      <c r="AL517" s="6"/>
      <c r="AM517" s="89">
        <v>13596000</v>
      </c>
      <c r="AN517" s="297">
        <v>20394000</v>
      </c>
      <c r="AO517" s="268" t="s">
        <v>92</v>
      </c>
      <c r="AP517" s="273">
        <f t="shared" si="63"/>
        <v>31157500</v>
      </c>
      <c r="AQ517" s="268"/>
      <c r="AR517" s="271"/>
      <c r="AS517" s="268"/>
      <c r="AT517" s="271"/>
      <c r="AU517" s="268"/>
    </row>
    <row r="518" spans="1:47" ht="76.5" x14ac:dyDescent="0.25">
      <c r="A518" s="267">
        <v>10</v>
      </c>
      <c r="B518" s="267" t="s">
        <v>96</v>
      </c>
      <c r="C518" s="284" t="s">
        <v>50</v>
      </c>
      <c r="D518" s="284" t="s">
        <v>51</v>
      </c>
      <c r="E518" s="284" t="s">
        <v>89</v>
      </c>
      <c r="F518" s="285" t="s">
        <v>53</v>
      </c>
      <c r="G518" s="285" t="s">
        <v>54</v>
      </c>
      <c r="H518" s="284" t="s">
        <v>55</v>
      </c>
      <c r="I518" s="268" t="s">
        <v>56</v>
      </c>
      <c r="J518" s="268" t="s">
        <v>57</v>
      </c>
      <c r="K518" s="268">
        <v>80111600</v>
      </c>
      <c r="L518" s="268" t="s">
        <v>58</v>
      </c>
      <c r="M518" s="268" t="s">
        <v>59</v>
      </c>
      <c r="N518" s="268" t="s">
        <v>60</v>
      </c>
      <c r="O518" s="268" t="s">
        <v>61</v>
      </c>
      <c r="P518" s="268" t="s">
        <v>97</v>
      </c>
      <c r="Q518" s="89">
        <v>5665000</v>
      </c>
      <c r="R518" s="270">
        <v>1</v>
      </c>
      <c r="S518" s="89">
        <v>65147500</v>
      </c>
      <c r="T518" s="268" t="s">
        <v>67</v>
      </c>
      <c r="U518" s="268" t="s">
        <v>68</v>
      </c>
      <c r="V518" s="271">
        <v>43112</v>
      </c>
      <c r="W518" s="268">
        <v>11.5</v>
      </c>
      <c r="X518" s="267" t="s">
        <v>98</v>
      </c>
      <c r="Y518" s="271">
        <v>43102</v>
      </c>
      <c r="Z518" s="269">
        <v>65147500</v>
      </c>
      <c r="AA518" s="268"/>
      <c r="AB518" s="293">
        <v>69</v>
      </c>
      <c r="AC518" s="6" t="s">
        <v>1481</v>
      </c>
      <c r="AD518" s="272">
        <v>33990000</v>
      </c>
      <c r="AE518" s="272">
        <f t="shared" si="64"/>
        <v>31157500</v>
      </c>
      <c r="AF518" s="293">
        <v>69</v>
      </c>
      <c r="AG518" s="293">
        <v>248</v>
      </c>
      <c r="AH518" s="294">
        <v>43119</v>
      </c>
      <c r="AI518" s="89">
        <v>33990000</v>
      </c>
      <c r="AJ518" s="295" t="s">
        <v>1803</v>
      </c>
      <c r="AK518" s="296">
        <v>213</v>
      </c>
      <c r="AL518" s="6"/>
      <c r="AM518" s="89">
        <v>13596000</v>
      </c>
      <c r="AN518" s="297">
        <v>20394000</v>
      </c>
      <c r="AO518" s="268" t="s">
        <v>92</v>
      </c>
      <c r="AP518" s="273">
        <f t="shared" si="63"/>
        <v>31157500</v>
      </c>
      <c r="AQ518" s="268"/>
      <c r="AR518" s="271"/>
      <c r="AS518" s="268"/>
      <c r="AT518" s="271"/>
      <c r="AU518" s="268"/>
    </row>
    <row r="519" spans="1:47" ht="76.5" x14ac:dyDescent="0.25">
      <c r="A519" s="267">
        <v>11</v>
      </c>
      <c r="B519" s="267" t="s">
        <v>99</v>
      </c>
      <c r="C519" s="284" t="s">
        <v>50</v>
      </c>
      <c r="D519" s="284" t="s">
        <v>51</v>
      </c>
      <c r="E519" s="284" t="s">
        <v>89</v>
      </c>
      <c r="F519" s="285" t="s">
        <v>53</v>
      </c>
      <c r="G519" s="285" t="s">
        <v>54</v>
      </c>
      <c r="H519" s="284" t="s">
        <v>55</v>
      </c>
      <c r="I519" s="268" t="s">
        <v>56</v>
      </c>
      <c r="J519" s="268" t="s">
        <v>57</v>
      </c>
      <c r="K519" s="268">
        <v>80111600</v>
      </c>
      <c r="L519" s="268" t="s">
        <v>58</v>
      </c>
      <c r="M519" s="268" t="s">
        <v>59</v>
      </c>
      <c r="N519" s="268" t="s">
        <v>60</v>
      </c>
      <c r="O519" s="268" t="s">
        <v>61</v>
      </c>
      <c r="P519" s="268" t="s">
        <v>100</v>
      </c>
      <c r="Q519" s="89">
        <v>5253000</v>
      </c>
      <c r="R519" s="270">
        <v>1</v>
      </c>
      <c r="S519" s="89">
        <v>60409500</v>
      </c>
      <c r="T519" s="268" t="s">
        <v>67</v>
      </c>
      <c r="U519" s="268" t="s">
        <v>68</v>
      </c>
      <c r="V519" s="271">
        <v>43112</v>
      </c>
      <c r="W519" s="268">
        <v>11.5</v>
      </c>
      <c r="X519" s="267" t="s">
        <v>101</v>
      </c>
      <c r="Y519" s="271">
        <v>43102</v>
      </c>
      <c r="Z519" s="269">
        <v>60409500</v>
      </c>
      <c r="AA519" s="268"/>
      <c r="AB519" s="293">
        <v>70</v>
      </c>
      <c r="AC519" s="6" t="s">
        <v>1481</v>
      </c>
      <c r="AD519" s="272">
        <v>60409500</v>
      </c>
      <c r="AE519" s="272">
        <f t="shared" si="64"/>
        <v>0</v>
      </c>
      <c r="AF519" s="293">
        <v>70</v>
      </c>
      <c r="AG519" s="293">
        <v>115</v>
      </c>
      <c r="AH519" s="294">
        <v>43117</v>
      </c>
      <c r="AI519" s="89">
        <v>60409500</v>
      </c>
      <c r="AJ519" s="295" t="s">
        <v>1804</v>
      </c>
      <c r="AK519" s="296">
        <v>93</v>
      </c>
      <c r="AL519" s="6"/>
      <c r="AM519" s="89">
        <v>12957400</v>
      </c>
      <c r="AN519" s="297">
        <v>47452100</v>
      </c>
      <c r="AO519" s="268" t="s">
        <v>102</v>
      </c>
      <c r="AP519" s="273">
        <f t="shared" si="63"/>
        <v>0</v>
      </c>
      <c r="AQ519" s="268"/>
      <c r="AR519" s="271"/>
      <c r="AS519" s="268"/>
      <c r="AT519" s="271"/>
      <c r="AU519" s="268"/>
    </row>
    <row r="520" spans="1:47" ht="76.5" x14ac:dyDescent="0.25">
      <c r="A520" s="267">
        <v>12</v>
      </c>
      <c r="B520" s="267" t="s">
        <v>103</v>
      </c>
      <c r="C520" s="284" t="s">
        <v>50</v>
      </c>
      <c r="D520" s="284" t="s">
        <v>51</v>
      </c>
      <c r="E520" s="284" t="s">
        <v>89</v>
      </c>
      <c r="F520" s="285" t="s">
        <v>53</v>
      </c>
      <c r="G520" s="285" t="s">
        <v>54</v>
      </c>
      <c r="H520" s="284" t="s">
        <v>55</v>
      </c>
      <c r="I520" s="268" t="s">
        <v>56</v>
      </c>
      <c r="J520" s="268" t="s">
        <v>57</v>
      </c>
      <c r="K520" s="268">
        <v>80111600</v>
      </c>
      <c r="L520" s="268" t="s">
        <v>58</v>
      </c>
      <c r="M520" s="268" t="s">
        <v>59</v>
      </c>
      <c r="N520" s="268" t="s">
        <v>60</v>
      </c>
      <c r="O520" s="268" t="s">
        <v>61</v>
      </c>
      <c r="P520" s="268" t="s">
        <v>104</v>
      </c>
      <c r="Q520" s="89">
        <v>5036700</v>
      </c>
      <c r="R520" s="270">
        <v>1</v>
      </c>
      <c r="S520" s="89">
        <v>57922050</v>
      </c>
      <c r="T520" s="268" t="s">
        <v>67</v>
      </c>
      <c r="U520" s="268" t="s">
        <v>68</v>
      </c>
      <c r="V520" s="271">
        <v>43112</v>
      </c>
      <c r="W520" s="268">
        <v>11.5</v>
      </c>
      <c r="X520" s="267" t="s">
        <v>105</v>
      </c>
      <c r="Y520" s="271">
        <v>43102</v>
      </c>
      <c r="Z520" s="269">
        <v>57922050</v>
      </c>
      <c r="AA520" s="268"/>
      <c r="AB520" s="293">
        <v>71</v>
      </c>
      <c r="AC520" s="6" t="s">
        <v>1481</v>
      </c>
      <c r="AD520" s="272">
        <v>52118000</v>
      </c>
      <c r="AE520" s="272">
        <f t="shared" si="64"/>
        <v>5804050</v>
      </c>
      <c r="AF520" s="293">
        <v>71</v>
      </c>
      <c r="AG520" s="293">
        <v>481</v>
      </c>
      <c r="AH520" s="294">
        <v>43126</v>
      </c>
      <c r="AI520" s="89">
        <v>52118000</v>
      </c>
      <c r="AJ520" s="295" t="s">
        <v>1805</v>
      </c>
      <c r="AK520" s="296">
        <v>403</v>
      </c>
      <c r="AL520" s="6"/>
      <c r="AM520" s="89">
        <v>9970400</v>
      </c>
      <c r="AN520" s="297">
        <v>42147600</v>
      </c>
      <c r="AO520" s="268" t="s">
        <v>102</v>
      </c>
      <c r="AP520" s="273">
        <f t="shared" si="63"/>
        <v>5804050</v>
      </c>
      <c r="AQ520" s="268"/>
      <c r="AR520" s="271"/>
      <c r="AS520" s="268"/>
      <c r="AT520" s="271"/>
      <c r="AU520" s="268"/>
    </row>
    <row r="521" spans="1:47" ht="76.5" x14ac:dyDescent="0.25">
      <c r="A521" s="267">
        <v>13</v>
      </c>
      <c r="B521" s="267" t="s">
        <v>106</v>
      </c>
      <c r="C521" s="284" t="s">
        <v>50</v>
      </c>
      <c r="D521" s="284" t="s">
        <v>51</v>
      </c>
      <c r="E521" s="284" t="s">
        <v>89</v>
      </c>
      <c r="F521" s="285" t="s">
        <v>53</v>
      </c>
      <c r="G521" s="285" t="s">
        <v>54</v>
      </c>
      <c r="H521" s="284" t="s">
        <v>55</v>
      </c>
      <c r="I521" s="268" t="s">
        <v>56</v>
      </c>
      <c r="J521" s="268" t="s">
        <v>57</v>
      </c>
      <c r="K521" s="268">
        <v>80111600</v>
      </c>
      <c r="L521" s="268" t="s">
        <v>58</v>
      </c>
      <c r="M521" s="268" t="s">
        <v>59</v>
      </c>
      <c r="N521" s="268" t="s">
        <v>60</v>
      </c>
      <c r="O521" s="268" t="s">
        <v>61</v>
      </c>
      <c r="P521" s="268" t="s">
        <v>107</v>
      </c>
      <c r="Q521" s="89">
        <v>5665000</v>
      </c>
      <c r="R521" s="270">
        <v>1</v>
      </c>
      <c r="S521" s="89">
        <v>65147500</v>
      </c>
      <c r="T521" s="268" t="s">
        <v>67</v>
      </c>
      <c r="U521" s="268" t="s">
        <v>68</v>
      </c>
      <c r="V521" s="271">
        <v>43105</v>
      </c>
      <c r="W521" s="268">
        <v>11.5</v>
      </c>
      <c r="X521" s="267" t="s">
        <v>108</v>
      </c>
      <c r="Y521" s="271">
        <v>43102</v>
      </c>
      <c r="Z521" s="269">
        <v>65147500</v>
      </c>
      <c r="AA521" s="268"/>
      <c r="AB521" s="293">
        <v>135</v>
      </c>
      <c r="AC521" s="6" t="s">
        <v>1411</v>
      </c>
      <c r="AD521" s="272">
        <v>65147500</v>
      </c>
      <c r="AE521" s="272">
        <f t="shared" si="64"/>
        <v>0</v>
      </c>
      <c r="AF521" s="293">
        <v>135</v>
      </c>
      <c r="AG521" s="293">
        <v>100</v>
      </c>
      <c r="AH521" s="294">
        <v>43116</v>
      </c>
      <c r="AI521" s="89">
        <v>65147500</v>
      </c>
      <c r="AJ521" s="295" t="s">
        <v>1806</v>
      </c>
      <c r="AK521" s="296">
        <v>83</v>
      </c>
      <c r="AL521" s="6"/>
      <c r="AM521" s="89">
        <v>12651833</v>
      </c>
      <c r="AN521" s="297">
        <v>52495667</v>
      </c>
      <c r="AO521" s="268" t="s">
        <v>65</v>
      </c>
      <c r="AP521" s="273">
        <f t="shared" si="63"/>
        <v>0</v>
      </c>
      <c r="AQ521" s="268"/>
      <c r="AR521" s="271"/>
      <c r="AS521" s="268"/>
      <c r="AT521" s="271"/>
      <c r="AU521" s="268"/>
    </row>
    <row r="522" spans="1:47" ht="76.5" x14ac:dyDescent="0.25">
      <c r="A522" s="267">
        <v>14</v>
      </c>
      <c r="B522" s="267" t="s">
        <v>109</v>
      </c>
      <c r="C522" s="284" t="s">
        <v>50</v>
      </c>
      <c r="D522" s="284" t="s">
        <v>51</v>
      </c>
      <c r="E522" s="284" t="s">
        <v>89</v>
      </c>
      <c r="F522" s="285" t="s">
        <v>53</v>
      </c>
      <c r="G522" s="285" t="s">
        <v>54</v>
      </c>
      <c r="H522" s="284" t="s">
        <v>55</v>
      </c>
      <c r="I522" s="268" t="s">
        <v>56</v>
      </c>
      <c r="J522" s="268" t="s">
        <v>57</v>
      </c>
      <c r="K522" s="268">
        <v>80111600</v>
      </c>
      <c r="L522" s="268" t="s">
        <v>58</v>
      </c>
      <c r="M522" s="268" t="s">
        <v>59</v>
      </c>
      <c r="N522" s="268" t="s">
        <v>60</v>
      </c>
      <c r="O522" s="268" t="s">
        <v>61</v>
      </c>
      <c r="P522" s="268" t="s">
        <v>110</v>
      </c>
      <c r="Q522" s="89">
        <v>5253000</v>
      </c>
      <c r="R522" s="270">
        <v>1</v>
      </c>
      <c r="S522" s="89">
        <v>60409500</v>
      </c>
      <c r="T522" s="268" t="s">
        <v>67</v>
      </c>
      <c r="U522" s="268" t="s">
        <v>68</v>
      </c>
      <c r="V522" s="271">
        <v>43105</v>
      </c>
      <c r="W522" s="268">
        <v>11.5</v>
      </c>
      <c r="X522" s="267" t="s">
        <v>111</v>
      </c>
      <c r="Y522" s="271">
        <v>43102</v>
      </c>
      <c r="Z522" s="269">
        <v>60409500</v>
      </c>
      <c r="AA522" s="268"/>
      <c r="AB522" s="293">
        <v>479</v>
      </c>
      <c r="AC522" s="6" t="s">
        <v>1412</v>
      </c>
      <c r="AD522" s="272">
        <v>57922050</v>
      </c>
      <c r="AE522" s="272">
        <f t="shared" si="64"/>
        <v>2487450</v>
      </c>
      <c r="AF522" s="293">
        <v>479</v>
      </c>
      <c r="AG522" s="293">
        <v>259</v>
      </c>
      <c r="AH522" s="294">
        <v>43119</v>
      </c>
      <c r="AI522" s="89">
        <v>57922050</v>
      </c>
      <c r="AJ522" s="295" t="s">
        <v>1807</v>
      </c>
      <c r="AK522" s="296">
        <v>233</v>
      </c>
      <c r="AL522" s="6"/>
      <c r="AM522" s="89">
        <v>11584410</v>
      </c>
      <c r="AN522" s="297">
        <v>46337640</v>
      </c>
      <c r="AO522" s="268" t="s">
        <v>65</v>
      </c>
      <c r="AP522" s="273">
        <f t="shared" si="63"/>
        <v>2487450</v>
      </c>
      <c r="AQ522" s="268"/>
      <c r="AR522" s="271"/>
      <c r="AS522" s="268"/>
      <c r="AT522" s="271"/>
      <c r="AU522" s="268"/>
    </row>
    <row r="523" spans="1:47" ht="76.5" x14ac:dyDescent="0.25">
      <c r="A523" s="267">
        <v>15</v>
      </c>
      <c r="B523" s="267" t="s">
        <v>112</v>
      </c>
      <c r="C523" s="284" t="s">
        <v>50</v>
      </c>
      <c r="D523" s="284" t="s">
        <v>51</v>
      </c>
      <c r="E523" s="284" t="s">
        <v>89</v>
      </c>
      <c r="F523" s="285" t="s">
        <v>53</v>
      </c>
      <c r="G523" s="285" t="s">
        <v>54</v>
      </c>
      <c r="H523" s="284" t="s">
        <v>55</v>
      </c>
      <c r="I523" s="268" t="s">
        <v>56</v>
      </c>
      <c r="J523" s="268" t="s">
        <v>57</v>
      </c>
      <c r="K523" s="268">
        <v>80111600</v>
      </c>
      <c r="L523" s="268" t="s">
        <v>58</v>
      </c>
      <c r="M523" s="268" t="s">
        <v>59</v>
      </c>
      <c r="N523" s="268" t="s">
        <v>60</v>
      </c>
      <c r="O523" s="268" t="s">
        <v>61</v>
      </c>
      <c r="P523" s="268" t="s">
        <v>113</v>
      </c>
      <c r="Q523" s="89">
        <v>4120000</v>
      </c>
      <c r="R523" s="270">
        <v>1</v>
      </c>
      <c r="S523" s="89">
        <v>47380000</v>
      </c>
      <c r="T523" s="268" t="s">
        <v>67</v>
      </c>
      <c r="U523" s="268" t="s">
        <v>68</v>
      </c>
      <c r="V523" s="271">
        <v>43105</v>
      </c>
      <c r="W523" s="268">
        <v>11.5</v>
      </c>
      <c r="X523" s="267" t="s">
        <v>114</v>
      </c>
      <c r="Y523" s="271">
        <v>43102</v>
      </c>
      <c r="Z523" s="269">
        <v>47380000</v>
      </c>
      <c r="AA523" s="268"/>
      <c r="AB523" s="293">
        <v>134</v>
      </c>
      <c r="AC523" s="6" t="s">
        <v>1411</v>
      </c>
      <c r="AD523" s="272">
        <v>26780000</v>
      </c>
      <c r="AE523" s="272">
        <f t="shared" si="64"/>
        <v>20600000</v>
      </c>
      <c r="AF523" s="293">
        <v>134</v>
      </c>
      <c r="AG523" s="293">
        <v>431</v>
      </c>
      <c r="AH523" s="294">
        <v>43124</v>
      </c>
      <c r="AI523" s="89">
        <v>26780000</v>
      </c>
      <c r="AJ523" s="295" t="s">
        <v>1808</v>
      </c>
      <c r="AK523" s="296">
        <v>372</v>
      </c>
      <c r="AL523" s="6"/>
      <c r="AM523" s="89">
        <v>9064000</v>
      </c>
      <c r="AN523" s="297">
        <v>17716000</v>
      </c>
      <c r="AO523" s="268" t="s">
        <v>65</v>
      </c>
      <c r="AP523" s="273">
        <f t="shared" si="63"/>
        <v>20600000</v>
      </c>
      <c r="AQ523" s="268"/>
      <c r="AR523" s="271"/>
      <c r="AS523" s="268"/>
      <c r="AT523" s="271"/>
      <c r="AU523" s="268"/>
    </row>
    <row r="524" spans="1:47" ht="76.5" x14ac:dyDescent="0.25">
      <c r="A524" s="267">
        <v>16</v>
      </c>
      <c r="B524" s="267" t="s">
        <v>115</v>
      </c>
      <c r="C524" s="284" t="s">
        <v>50</v>
      </c>
      <c r="D524" s="284" t="s">
        <v>51</v>
      </c>
      <c r="E524" s="284" t="s">
        <v>89</v>
      </c>
      <c r="F524" s="285" t="s">
        <v>53</v>
      </c>
      <c r="G524" s="285" t="s">
        <v>54</v>
      </c>
      <c r="H524" s="284" t="s">
        <v>55</v>
      </c>
      <c r="I524" s="268" t="s">
        <v>56</v>
      </c>
      <c r="J524" s="268" t="s">
        <v>57</v>
      </c>
      <c r="K524" s="268">
        <v>80111600</v>
      </c>
      <c r="L524" s="268" t="s">
        <v>58</v>
      </c>
      <c r="M524" s="268" t="s">
        <v>59</v>
      </c>
      <c r="N524" s="268" t="s">
        <v>60</v>
      </c>
      <c r="O524" s="268" t="s">
        <v>61</v>
      </c>
      <c r="P524" s="268" t="s">
        <v>116</v>
      </c>
      <c r="Q524" s="89">
        <v>6180000</v>
      </c>
      <c r="R524" s="270">
        <v>1</v>
      </c>
      <c r="S524" s="89">
        <v>71070000</v>
      </c>
      <c r="T524" s="268" t="s">
        <v>67</v>
      </c>
      <c r="U524" s="268" t="s">
        <v>68</v>
      </c>
      <c r="V524" s="271">
        <v>43105</v>
      </c>
      <c r="W524" s="268">
        <v>11.5</v>
      </c>
      <c r="X524" s="267" t="s">
        <v>117</v>
      </c>
      <c r="Y524" s="271">
        <v>43102</v>
      </c>
      <c r="Z524" s="269">
        <v>71070000</v>
      </c>
      <c r="AA524" s="268"/>
      <c r="AB524" s="293">
        <v>480</v>
      </c>
      <c r="AC524" s="6" t="s">
        <v>1412</v>
      </c>
      <c r="AD524" s="272">
        <v>71070000</v>
      </c>
      <c r="AE524" s="272">
        <f t="shared" si="64"/>
        <v>0</v>
      </c>
      <c r="AF524" s="293">
        <v>480</v>
      </c>
      <c r="AG524" s="293">
        <v>113</v>
      </c>
      <c r="AH524" s="294">
        <v>43117</v>
      </c>
      <c r="AI524" s="89">
        <v>71070000</v>
      </c>
      <c r="AJ524" s="295" t="s">
        <v>1809</v>
      </c>
      <c r="AK524" s="296">
        <v>106</v>
      </c>
      <c r="AL524" s="6"/>
      <c r="AM524" s="89">
        <v>15244000</v>
      </c>
      <c r="AN524" s="297">
        <v>55826000</v>
      </c>
      <c r="AO524" s="268" t="s">
        <v>65</v>
      </c>
      <c r="AP524" s="273">
        <f t="shared" si="63"/>
        <v>0</v>
      </c>
      <c r="AQ524" s="268"/>
      <c r="AR524" s="271"/>
      <c r="AS524" s="268"/>
      <c r="AT524" s="271"/>
      <c r="AU524" s="268"/>
    </row>
    <row r="525" spans="1:47" ht="76.5" x14ac:dyDescent="0.25">
      <c r="A525" s="267">
        <v>17</v>
      </c>
      <c r="B525" s="267" t="s">
        <v>118</v>
      </c>
      <c r="C525" s="284" t="s">
        <v>50</v>
      </c>
      <c r="D525" s="284" t="s">
        <v>51</v>
      </c>
      <c r="E525" s="284" t="s">
        <v>89</v>
      </c>
      <c r="F525" s="285" t="s">
        <v>53</v>
      </c>
      <c r="G525" s="285" t="s">
        <v>54</v>
      </c>
      <c r="H525" s="284" t="s">
        <v>55</v>
      </c>
      <c r="I525" s="268" t="s">
        <v>56</v>
      </c>
      <c r="J525" s="268" t="s">
        <v>57</v>
      </c>
      <c r="K525" s="268">
        <v>80111600</v>
      </c>
      <c r="L525" s="268" t="s">
        <v>58</v>
      </c>
      <c r="M525" s="268" t="s">
        <v>59</v>
      </c>
      <c r="N525" s="268" t="s">
        <v>60</v>
      </c>
      <c r="O525" s="268" t="s">
        <v>61</v>
      </c>
      <c r="P525" s="268" t="s">
        <v>119</v>
      </c>
      <c r="Q525" s="89">
        <v>4532000</v>
      </c>
      <c r="R525" s="270">
        <v>1</v>
      </c>
      <c r="S525" s="89">
        <v>52118000</v>
      </c>
      <c r="T525" s="268" t="s">
        <v>67</v>
      </c>
      <c r="U525" s="268" t="s">
        <v>68</v>
      </c>
      <c r="V525" s="271">
        <v>43112</v>
      </c>
      <c r="W525" s="268">
        <v>11.5</v>
      </c>
      <c r="X525" s="267" t="s">
        <v>120</v>
      </c>
      <c r="Y525" s="271">
        <v>43102</v>
      </c>
      <c r="Z525" s="269">
        <v>52118000</v>
      </c>
      <c r="AA525" s="268"/>
      <c r="AB525" s="293">
        <v>72</v>
      </c>
      <c r="AC525" s="6" t="s">
        <v>1481</v>
      </c>
      <c r="AD525" s="272">
        <v>39088500</v>
      </c>
      <c r="AE525" s="272">
        <f t="shared" si="64"/>
        <v>13029500</v>
      </c>
      <c r="AF525" s="293">
        <v>72</v>
      </c>
      <c r="AG525" s="293">
        <v>506</v>
      </c>
      <c r="AH525" s="294">
        <v>43126</v>
      </c>
      <c r="AI525" s="89">
        <v>39088500</v>
      </c>
      <c r="AJ525" s="295" t="s">
        <v>1810</v>
      </c>
      <c r="AK525" s="296">
        <v>416</v>
      </c>
      <c r="AL525" s="6"/>
      <c r="AM525" s="89">
        <v>7137900</v>
      </c>
      <c r="AN525" s="297">
        <v>31950600</v>
      </c>
      <c r="AO525" s="268" t="s">
        <v>121</v>
      </c>
      <c r="AP525" s="273">
        <f t="shared" si="63"/>
        <v>13029500</v>
      </c>
      <c r="AQ525" s="268"/>
      <c r="AR525" s="271"/>
      <c r="AS525" s="268"/>
      <c r="AT525" s="271"/>
      <c r="AU525" s="268"/>
    </row>
    <row r="526" spans="1:47" ht="76.5" x14ac:dyDescent="0.25">
      <c r="A526" s="267">
        <v>18</v>
      </c>
      <c r="B526" s="267" t="s">
        <v>122</v>
      </c>
      <c r="C526" s="284" t="s">
        <v>50</v>
      </c>
      <c r="D526" s="284" t="s">
        <v>51</v>
      </c>
      <c r="E526" s="284" t="s">
        <v>89</v>
      </c>
      <c r="F526" s="285" t="s">
        <v>53</v>
      </c>
      <c r="G526" s="285" t="s">
        <v>54</v>
      </c>
      <c r="H526" s="284" t="s">
        <v>55</v>
      </c>
      <c r="I526" s="268" t="s">
        <v>56</v>
      </c>
      <c r="J526" s="268" t="s">
        <v>57</v>
      </c>
      <c r="K526" s="268">
        <v>80111600</v>
      </c>
      <c r="L526" s="268" t="s">
        <v>58</v>
      </c>
      <c r="M526" s="268" t="s">
        <v>59</v>
      </c>
      <c r="N526" s="268" t="s">
        <v>60</v>
      </c>
      <c r="O526" s="268" t="s">
        <v>61</v>
      </c>
      <c r="P526" s="268" t="s">
        <v>123</v>
      </c>
      <c r="Q526" s="89">
        <v>5253000</v>
      </c>
      <c r="R526" s="270">
        <v>1</v>
      </c>
      <c r="S526" s="89">
        <v>60409500</v>
      </c>
      <c r="T526" s="268" t="s">
        <v>67</v>
      </c>
      <c r="U526" s="268" t="s">
        <v>68</v>
      </c>
      <c r="V526" s="271">
        <v>43112</v>
      </c>
      <c r="W526" s="268">
        <v>11.5</v>
      </c>
      <c r="X526" s="267" t="s">
        <v>124</v>
      </c>
      <c r="Y526" s="271">
        <v>43102</v>
      </c>
      <c r="Z526" s="269">
        <v>60409500</v>
      </c>
      <c r="AA526" s="268"/>
      <c r="AB526" s="293">
        <v>73</v>
      </c>
      <c r="AC526" s="6" t="s">
        <v>1481</v>
      </c>
      <c r="AD526" s="272">
        <v>60409500</v>
      </c>
      <c r="AE526" s="272">
        <f t="shared" si="64"/>
        <v>0</v>
      </c>
      <c r="AF526" s="293">
        <v>73</v>
      </c>
      <c r="AG526" s="293">
        <v>74</v>
      </c>
      <c r="AH526" s="294">
        <v>43116</v>
      </c>
      <c r="AI526" s="89">
        <v>60409500</v>
      </c>
      <c r="AJ526" s="295" t="s">
        <v>1811</v>
      </c>
      <c r="AK526" s="296">
        <v>60</v>
      </c>
      <c r="AL526" s="6"/>
      <c r="AM526" s="89">
        <v>12957400</v>
      </c>
      <c r="AN526" s="297">
        <v>47452100</v>
      </c>
      <c r="AO526" s="268" t="s">
        <v>121</v>
      </c>
      <c r="AP526" s="273">
        <f t="shared" si="63"/>
        <v>0</v>
      </c>
      <c r="AQ526" s="268"/>
      <c r="AR526" s="271"/>
      <c r="AS526" s="268"/>
      <c r="AT526" s="271"/>
      <c r="AU526" s="268"/>
    </row>
    <row r="527" spans="1:47" ht="76.5" x14ac:dyDescent="0.25">
      <c r="A527" s="267">
        <v>19</v>
      </c>
      <c r="B527" s="267" t="s">
        <v>125</v>
      </c>
      <c r="C527" s="284" t="s">
        <v>50</v>
      </c>
      <c r="D527" s="284" t="s">
        <v>51</v>
      </c>
      <c r="E527" s="284" t="s">
        <v>89</v>
      </c>
      <c r="F527" s="285" t="s">
        <v>53</v>
      </c>
      <c r="G527" s="285" t="s">
        <v>54</v>
      </c>
      <c r="H527" s="284" t="s">
        <v>55</v>
      </c>
      <c r="I527" s="268" t="s">
        <v>56</v>
      </c>
      <c r="J527" s="268" t="s">
        <v>57</v>
      </c>
      <c r="K527" s="268">
        <v>80111600</v>
      </c>
      <c r="L527" s="268" t="s">
        <v>58</v>
      </c>
      <c r="M527" s="268" t="s">
        <v>59</v>
      </c>
      <c r="N527" s="268" t="s">
        <v>60</v>
      </c>
      <c r="O527" s="268" t="s">
        <v>61</v>
      </c>
      <c r="P527" s="268" t="s">
        <v>126</v>
      </c>
      <c r="Q527" s="89">
        <v>5993739.1304347822</v>
      </c>
      <c r="R527" s="270">
        <v>1</v>
      </c>
      <c r="S527" s="89">
        <v>68928000</v>
      </c>
      <c r="T527" s="268" t="s">
        <v>67</v>
      </c>
      <c r="U527" s="268" t="s">
        <v>68</v>
      </c>
      <c r="V527" s="271">
        <v>43112</v>
      </c>
      <c r="W527" s="268">
        <v>11.5</v>
      </c>
      <c r="X527" s="267" t="s">
        <v>127</v>
      </c>
      <c r="Y527" s="271">
        <v>43102</v>
      </c>
      <c r="Z527" s="269">
        <v>68928000</v>
      </c>
      <c r="AA527" s="268"/>
      <c r="AB527" s="293">
        <v>74</v>
      </c>
      <c r="AC527" s="6" t="s">
        <v>1481</v>
      </c>
      <c r="AD527" s="272">
        <v>68927240</v>
      </c>
      <c r="AE527" s="272">
        <f t="shared" si="64"/>
        <v>760</v>
      </c>
      <c r="AF527" s="293">
        <v>74</v>
      </c>
      <c r="AG527" s="293">
        <v>96</v>
      </c>
      <c r="AH527" s="294">
        <v>43116</v>
      </c>
      <c r="AI527" s="89">
        <v>68927240</v>
      </c>
      <c r="AJ527" s="295" t="s">
        <v>1812</v>
      </c>
      <c r="AK527" s="296">
        <v>89</v>
      </c>
      <c r="AL527" s="6"/>
      <c r="AM527" s="89">
        <v>14784393</v>
      </c>
      <c r="AN527" s="297">
        <v>54142847</v>
      </c>
      <c r="AO527" s="268" t="s">
        <v>121</v>
      </c>
      <c r="AP527" s="273">
        <f t="shared" si="63"/>
        <v>760</v>
      </c>
      <c r="AQ527" s="268"/>
      <c r="AR527" s="271"/>
      <c r="AS527" s="268"/>
      <c r="AT527" s="271"/>
      <c r="AU527" s="268"/>
    </row>
    <row r="528" spans="1:47" ht="76.5" x14ac:dyDescent="0.25">
      <c r="A528" s="267">
        <v>20</v>
      </c>
      <c r="B528" s="267" t="s">
        <v>128</v>
      </c>
      <c r="C528" s="284" t="s">
        <v>50</v>
      </c>
      <c r="D528" s="284" t="s">
        <v>51</v>
      </c>
      <c r="E528" s="284" t="s">
        <v>89</v>
      </c>
      <c r="F528" s="285" t="s">
        <v>53</v>
      </c>
      <c r="G528" s="285" t="s">
        <v>54</v>
      </c>
      <c r="H528" s="284" t="s">
        <v>55</v>
      </c>
      <c r="I528" s="268" t="s">
        <v>56</v>
      </c>
      <c r="J528" s="268" t="s">
        <v>57</v>
      </c>
      <c r="K528" s="268">
        <v>80111600</v>
      </c>
      <c r="L528" s="268" t="s">
        <v>58</v>
      </c>
      <c r="M528" s="268" t="s">
        <v>59</v>
      </c>
      <c r="N528" s="268" t="s">
        <v>60</v>
      </c>
      <c r="O528" s="268" t="s">
        <v>61</v>
      </c>
      <c r="P528" s="268" t="s">
        <v>129</v>
      </c>
      <c r="Q528" s="89">
        <v>5665000</v>
      </c>
      <c r="R528" s="270">
        <v>1</v>
      </c>
      <c r="S528" s="89">
        <v>65147500</v>
      </c>
      <c r="T528" s="268" t="s">
        <v>67</v>
      </c>
      <c r="U528" s="268" t="s">
        <v>68</v>
      </c>
      <c r="V528" s="271">
        <v>43112</v>
      </c>
      <c r="W528" s="268">
        <v>11.5</v>
      </c>
      <c r="X528" s="267" t="s">
        <v>130</v>
      </c>
      <c r="Y528" s="271">
        <v>43102</v>
      </c>
      <c r="Z528" s="269">
        <v>65147500</v>
      </c>
      <c r="AA528" s="268"/>
      <c r="AB528" s="293">
        <v>75</v>
      </c>
      <c r="AC528" s="6" t="s">
        <v>1481</v>
      </c>
      <c r="AD528" s="272">
        <v>65147500</v>
      </c>
      <c r="AE528" s="272">
        <f t="shared" si="64"/>
        <v>0</v>
      </c>
      <c r="AF528" s="293">
        <v>75</v>
      </c>
      <c r="AG528" s="293">
        <v>72</v>
      </c>
      <c r="AH528" s="294">
        <v>43116</v>
      </c>
      <c r="AI528" s="89">
        <v>65147500</v>
      </c>
      <c r="AJ528" s="295" t="s">
        <v>1813</v>
      </c>
      <c r="AK528" s="296">
        <v>58</v>
      </c>
      <c r="AL528" s="6"/>
      <c r="AM528" s="89">
        <v>13973667</v>
      </c>
      <c r="AN528" s="297">
        <v>51173833</v>
      </c>
      <c r="AO528" s="268" t="s">
        <v>121</v>
      </c>
      <c r="AP528" s="273">
        <f t="shared" si="63"/>
        <v>0</v>
      </c>
      <c r="AQ528" s="268"/>
      <c r="AR528" s="271"/>
      <c r="AS528" s="268"/>
      <c r="AT528" s="271"/>
      <c r="AU528" s="268"/>
    </row>
    <row r="529" spans="1:47" ht="76.5" x14ac:dyDescent="0.25">
      <c r="A529" s="267">
        <v>21</v>
      </c>
      <c r="B529" s="267" t="s">
        <v>131</v>
      </c>
      <c r="C529" s="284" t="s">
        <v>50</v>
      </c>
      <c r="D529" s="284" t="s">
        <v>51</v>
      </c>
      <c r="E529" s="284" t="s">
        <v>89</v>
      </c>
      <c r="F529" s="285" t="s">
        <v>53</v>
      </c>
      <c r="G529" s="285" t="s">
        <v>54</v>
      </c>
      <c r="H529" s="284" t="s">
        <v>55</v>
      </c>
      <c r="I529" s="268" t="s">
        <v>56</v>
      </c>
      <c r="J529" s="268" t="s">
        <v>57</v>
      </c>
      <c r="K529" s="268">
        <v>80111600</v>
      </c>
      <c r="L529" s="268" t="s">
        <v>58</v>
      </c>
      <c r="M529" s="268" t="s">
        <v>59</v>
      </c>
      <c r="N529" s="268" t="s">
        <v>60</v>
      </c>
      <c r="O529" s="268" t="s">
        <v>61</v>
      </c>
      <c r="P529" s="268" t="s">
        <v>132</v>
      </c>
      <c r="Q529" s="89">
        <v>5253043.4782608692</v>
      </c>
      <c r="R529" s="270">
        <v>1</v>
      </c>
      <c r="S529" s="89">
        <v>60410000</v>
      </c>
      <c r="T529" s="268" t="s">
        <v>67</v>
      </c>
      <c r="U529" s="268" t="s">
        <v>68</v>
      </c>
      <c r="V529" s="271">
        <v>43112</v>
      </c>
      <c r="W529" s="268">
        <v>11.5</v>
      </c>
      <c r="X529" s="267" t="s">
        <v>133</v>
      </c>
      <c r="Y529" s="271">
        <v>43102</v>
      </c>
      <c r="Z529" s="269">
        <v>60410000</v>
      </c>
      <c r="AA529" s="268"/>
      <c r="AB529" s="293">
        <v>76</v>
      </c>
      <c r="AC529" s="6" t="s">
        <v>1481</v>
      </c>
      <c r="AD529" s="272">
        <v>60409500</v>
      </c>
      <c r="AE529" s="272">
        <f t="shared" si="64"/>
        <v>500</v>
      </c>
      <c r="AF529" s="293">
        <v>76</v>
      </c>
      <c r="AG529" s="293">
        <v>98</v>
      </c>
      <c r="AH529" s="294">
        <v>43116</v>
      </c>
      <c r="AI529" s="89">
        <v>60409500</v>
      </c>
      <c r="AJ529" s="295" t="s">
        <v>1814</v>
      </c>
      <c r="AK529" s="296">
        <v>88</v>
      </c>
      <c r="AL529" s="6"/>
      <c r="AM529" s="89">
        <v>12957400</v>
      </c>
      <c r="AN529" s="297">
        <v>47452100</v>
      </c>
      <c r="AO529" s="268" t="s">
        <v>121</v>
      </c>
      <c r="AP529" s="273">
        <f t="shared" si="63"/>
        <v>500</v>
      </c>
      <c r="AQ529" s="268"/>
      <c r="AR529" s="271"/>
      <c r="AS529" s="268"/>
      <c r="AT529" s="271"/>
      <c r="AU529" s="268"/>
    </row>
    <row r="530" spans="1:47" ht="76.5" x14ac:dyDescent="0.25">
      <c r="A530" s="267">
        <v>22</v>
      </c>
      <c r="B530" s="267" t="s">
        <v>134</v>
      </c>
      <c r="C530" s="284" t="s">
        <v>50</v>
      </c>
      <c r="D530" s="284" t="s">
        <v>51</v>
      </c>
      <c r="E530" s="284" t="s">
        <v>89</v>
      </c>
      <c r="F530" s="285" t="s">
        <v>53</v>
      </c>
      <c r="G530" s="285" t="s">
        <v>54</v>
      </c>
      <c r="H530" s="284" t="s">
        <v>55</v>
      </c>
      <c r="I530" s="268" t="s">
        <v>56</v>
      </c>
      <c r="J530" s="268" t="s">
        <v>57</v>
      </c>
      <c r="K530" s="268">
        <v>80111600</v>
      </c>
      <c r="L530" s="268" t="s">
        <v>58</v>
      </c>
      <c r="M530" s="268" t="s">
        <v>59</v>
      </c>
      <c r="N530" s="268" t="s">
        <v>60</v>
      </c>
      <c r="O530" s="268" t="s">
        <v>61</v>
      </c>
      <c r="P530" s="268" t="s">
        <v>135</v>
      </c>
      <c r="Q530" s="89">
        <v>5253000</v>
      </c>
      <c r="R530" s="270">
        <v>1</v>
      </c>
      <c r="S530" s="89">
        <v>60409500</v>
      </c>
      <c r="T530" s="268" t="s">
        <v>67</v>
      </c>
      <c r="U530" s="268" t="s">
        <v>68</v>
      </c>
      <c r="V530" s="271">
        <v>43112</v>
      </c>
      <c r="W530" s="268">
        <v>11.5</v>
      </c>
      <c r="X530" s="267" t="s">
        <v>136</v>
      </c>
      <c r="Y530" s="271">
        <v>43102</v>
      </c>
      <c r="Z530" s="269">
        <v>60409500</v>
      </c>
      <c r="AA530" s="268"/>
      <c r="AB530" s="293">
        <v>77</v>
      </c>
      <c r="AC530" s="6" t="s">
        <v>1481</v>
      </c>
      <c r="AD530" s="272">
        <v>60409500</v>
      </c>
      <c r="AE530" s="272">
        <f t="shared" si="64"/>
        <v>0</v>
      </c>
      <c r="AF530" s="293">
        <v>77</v>
      </c>
      <c r="AG530" s="293">
        <v>131</v>
      </c>
      <c r="AH530" s="294">
        <v>43117</v>
      </c>
      <c r="AI530" s="89">
        <v>60409500</v>
      </c>
      <c r="AJ530" s="295" t="s">
        <v>1815</v>
      </c>
      <c r="AK530" s="296">
        <v>112</v>
      </c>
      <c r="AL530" s="6"/>
      <c r="AM530" s="89">
        <v>12782300</v>
      </c>
      <c r="AN530" s="297">
        <v>47627200</v>
      </c>
      <c r="AO530" s="268" t="s">
        <v>121</v>
      </c>
      <c r="AP530" s="273">
        <f t="shared" si="63"/>
        <v>0</v>
      </c>
      <c r="AQ530" s="268"/>
      <c r="AR530" s="271"/>
      <c r="AS530" s="268"/>
      <c r="AT530" s="271"/>
      <c r="AU530" s="268"/>
    </row>
    <row r="531" spans="1:47" ht="76.5" x14ac:dyDescent="0.25">
      <c r="A531" s="267">
        <v>23</v>
      </c>
      <c r="B531" s="267" t="s">
        <v>137</v>
      </c>
      <c r="C531" s="284" t="s">
        <v>50</v>
      </c>
      <c r="D531" s="284" t="s">
        <v>51</v>
      </c>
      <c r="E531" s="284" t="s">
        <v>89</v>
      </c>
      <c r="F531" s="285" t="s">
        <v>53</v>
      </c>
      <c r="G531" s="285" t="s">
        <v>54</v>
      </c>
      <c r="H531" s="284" t="s">
        <v>55</v>
      </c>
      <c r="I531" s="268" t="s">
        <v>56</v>
      </c>
      <c r="J531" s="268" t="s">
        <v>57</v>
      </c>
      <c r="K531" s="268">
        <v>80111600</v>
      </c>
      <c r="L531" s="268" t="s">
        <v>58</v>
      </c>
      <c r="M531" s="268" t="s">
        <v>59</v>
      </c>
      <c r="N531" s="268" t="s">
        <v>60</v>
      </c>
      <c r="O531" s="268" t="s">
        <v>61</v>
      </c>
      <c r="P531" s="268" t="s">
        <v>138</v>
      </c>
      <c r="Q531" s="89">
        <v>3553500</v>
      </c>
      <c r="R531" s="270">
        <v>1</v>
      </c>
      <c r="S531" s="89">
        <v>40865250</v>
      </c>
      <c r="T531" s="268" t="s">
        <v>67</v>
      </c>
      <c r="U531" s="268" t="s">
        <v>68</v>
      </c>
      <c r="V531" s="271">
        <v>43112</v>
      </c>
      <c r="W531" s="268">
        <v>11.5</v>
      </c>
      <c r="X531" s="267" t="s">
        <v>139</v>
      </c>
      <c r="Y531" s="271">
        <v>43102</v>
      </c>
      <c r="Z531" s="269">
        <v>40865250</v>
      </c>
      <c r="AA531" s="268"/>
      <c r="AB531" s="293">
        <v>78</v>
      </c>
      <c r="AC531" s="6" t="s">
        <v>1481</v>
      </c>
      <c r="AD531" s="272">
        <v>40865250</v>
      </c>
      <c r="AE531" s="272">
        <f t="shared" si="64"/>
        <v>0</v>
      </c>
      <c r="AF531" s="293">
        <v>78</v>
      </c>
      <c r="AG531" s="293">
        <v>58</v>
      </c>
      <c r="AH531" s="294">
        <v>43116</v>
      </c>
      <c r="AI531" s="89">
        <v>40865250</v>
      </c>
      <c r="AJ531" s="295" t="s">
        <v>1816</v>
      </c>
      <c r="AK531" s="296">
        <v>45</v>
      </c>
      <c r="AL531" s="6"/>
      <c r="AM531" s="89">
        <v>8291500</v>
      </c>
      <c r="AN531" s="297">
        <v>32573750</v>
      </c>
      <c r="AO531" s="268" t="s">
        <v>140</v>
      </c>
      <c r="AP531" s="273">
        <f t="shared" si="63"/>
        <v>0</v>
      </c>
      <c r="AQ531" s="268"/>
      <c r="AR531" s="271"/>
      <c r="AS531" s="268"/>
      <c r="AT531" s="271"/>
      <c r="AU531" s="268"/>
    </row>
    <row r="532" spans="1:47" ht="76.5" x14ac:dyDescent="0.25">
      <c r="A532" s="267">
        <v>24</v>
      </c>
      <c r="B532" s="267" t="s">
        <v>141</v>
      </c>
      <c r="C532" s="284" t="s">
        <v>50</v>
      </c>
      <c r="D532" s="284" t="s">
        <v>51</v>
      </c>
      <c r="E532" s="284" t="s">
        <v>52</v>
      </c>
      <c r="F532" s="285" t="s">
        <v>53</v>
      </c>
      <c r="G532" s="285" t="s">
        <v>54</v>
      </c>
      <c r="H532" s="284" t="s">
        <v>55</v>
      </c>
      <c r="I532" s="268" t="s">
        <v>56</v>
      </c>
      <c r="J532" s="268" t="s">
        <v>57</v>
      </c>
      <c r="K532" s="268">
        <v>80111600</v>
      </c>
      <c r="L532" s="268" t="s">
        <v>58</v>
      </c>
      <c r="M532" s="268" t="s">
        <v>59</v>
      </c>
      <c r="N532" s="268" t="s">
        <v>60</v>
      </c>
      <c r="O532" s="268" t="s">
        <v>61</v>
      </c>
      <c r="P532" s="268" t="s">
        <v>142</v>
      </c>
      <c r="Q532" s="89">
        <v>6180000</v>
      </c>
      <c r="R532" s="270">
        <v>1</v>
      </c>
      <c r="S532" s="89">
        <v>71070000</v>
      </c>
      <c r="T532" s="268" t="s">
        <v>67</v>
      </c>
      <c r="U532" s="268" t="s">
        <v>68</v>
      </c>
      <c r="V532" s="271">
        <v>43112</v>
      </c>
      <c r="W532" s="268">
        <v>11.5</v>
      </c>
      <c r="X532" s="267" t="s">
        <v>143</v>
      </c>
      <c r="Y532" s="271">
        <v>43102</v>
      </c>
      <c r="Z532" s="269">
        <v>71070000</v>
      </c>
      <c r="AA532" s="268"/>
      <c r="AB532" s="293">
        <v>79</v>
      </c>
      <c r="AC532" s="6" t="s">
        <v>1481</v>
      </c>
      <c r="AD532" s="272">
        <v>71070000</v>
      </c>
      <c r="AE532" s="272">
        <f t="shared" si="64"/>
        <v>0</v>
      </c>
      <c r="AF532" s="293">
        <v>79</v>
      </c>
      <c r="AG532" s="293">
        <v>53</v>
      </c>
      <c r="AH532" s="294">
        <v>43116</v>
      </c>
      <c r="AI532" s="89">
        <v>71070000</v>
      </c>
      <c r="AJ532" s="295" t="s">
        <v>1817</v>
      </c>
      <c r="AK532" s="296">
        <v>39</v>
      </c>
      <c r="AL532" s="6"/>
      <c r="AM532" s="89">
        <v>15244000</v>
      </c>
      <c r="AN532" s="297">
        <v>55826000</v>
      </c>
      <c r="AO532" s="268" t="s">
        <v>140</v>
      </c>
      <c r="AP532" s="273">
        <f t="shared" si="63"/>
        <v>0</v>
      </c>
      <c r="AQ532" s="268"/>
      <c r="AR532" s="271"/>
      <c r="AS532" s="268"/>
      <c r="AT532" s="271"/>
      <c r="AU532" s="268"/>
    </row>
    <row r="533" spans="1:47" ht="76.5" x14ac:dyDescent="0.25">
      <c r="A533" s="267">
        <v>25</v>
      </c>
      <c r="B533" s="267" t="s">
        <v>144</v>
      </c>
      <c r="C533" s="284" t="s">
        <v>50</v>
      </c>
      <c r="D533" s="284" t="s">
        <v>51</v>
      </c>
      <c r="E533" s="284" t="s">
        <v>52</v>
      </c>
      <c r="F533" s="285" t="s">
        <v>53</v>
      </c>
      <c r="G533" s="285" t="s">
        <v>54</v>
      </c>
      <c r="H533" s="284" t="s">
        <v>55</v>
      </c>
      <c r="I533" s="268" t="s">
        <v>56</v>
      </c>
      <c r="J533" s="268" t="s">
        <v>57</v>
      </c>
      <c r="K533" s="268">
        <v>80111600</v>
      </c>
      <c r="L533" s="268" t="s">
        <v>58</v>
      </c>
      <c r="M533" s="268" t="s">
        <v>59</v>
      </c>
      <c r="N533" s="268" t="s">
        <v>60</v>
      </c>
      <c r="O533" s="268" t="s">
        <v>61</v>
      </c>
      <c r="P533" s="268" t="s">
        <v>145</v>
      </c>
      <c r="Q533" s="89">
        <v>7210000</v>
      </c>
      <c r="R533" s="270">
        <v>1</v>
      </c>
      <c r="S533" s="89">
        <v>82915000</v>
      </c>
      <c r="T533" s="268" t="s">
        <v>67</v>
      </c>
      <c r="U533" s="268" t="s">
        <v>68</v>
      </c>
      <c r="V533" s="271">
        <v>43112</v>
      </c>
      <c r="W533" s="268">
        <v>11.5</v>
      </c>
      <c r="X533" s="267" t="s">
        <v>146</v>
      </c>
      <c r="Y533" s="271">
        <v>43102</v>
      </c>
      <c r="Z533" s="269">
        <v>82915000</v>
      </c>
      <c r="AA533" s="268"/>
      <c r="AB533" s="293">
        <v>80</v>
      </c>
      <c r="AC533" s="6" t="s">
        <v>1481</v>
      </c>
      <c r="AD533" s="272">
        <v>82915000</v>
      </c>
      <c r="AE533" s="272">
        <f t="shared" si="64"/>
        <v>0</v>
      </c>
      <c r="AF533" s="293">
        <v>80</v>
      </c>
      <c r="AG533" s="293">
        <v>39</v>
      </c>
      <c r="AH533" s="294">
        <v>43116</v>
      </c>
      <c r="AI533" s="89">
        <v>82915000</v>
      </c>
      <c r="AJ533" s="295" t="s">
        <v>1818</v>
      </c>
      <c r="AK533" s="296">
        <v>48</v>
      </c>
      <c r="AL533" s="6"/>
      <c r="AM533" s="89">
        <v>17784667</v>
      </c>
      <c r="AN533" s="297">
        <v>65130333</v>
      </c>
      <c r="AO533" s="268" t="s">
        <v>140</v>
      </c>
      <c r="AP533" s="273">
        <f t="shared" si="63"/>
        <v>0</v>
      </c>
      <c r="AQ533" s="268"/>
      <c r="AR533" s="271"/>
      <c r="AS533" s="268"/>
      <c r="AT533" s="271"/>
      <c r="AU533" s="268"/>
    </row>
    <row r="534" spans="1:47" ht="76.5" x14ac:dyDescent="0.25">
      <c r="A534" s="267">
        <v>26</v>
      </c>
      <c r="B534" s="267" t="s">
        <v>147</v>
      </c>
      <c r="C534" s="284" t="s">
        <v>50</v>
      </c>
      <c r="D534" s="284" t="s">
        <v>51</v>
      </c>
      <c r="E534" s="284" t="s">
        <v>89</v>
      </c>
      <c r="F534" s="285" t="s">
        <v>53</v>
      </c>
      <c r="G534" s="285" t="s">
        <v>54</v>
      </c>
      <c r="H534" s="284" t="s">
        <v>55</v>
      </c>
      <c r="I534" s="268" t="s">
        <v>56</v>
      </c>
      <c r="J534" s="268" t="s">
        <v>57</v>
      </c>
      <c r="K534" s="268">
        <v>80111600</v>
      </c>
      <c r="L534" s="268" t="s">
        <v>58</v>
      </c>
      <c r="M534" s="268" t="s">
        <v>59</v>
      </c>
      <c r="N534" s="268" t="s">
        <v>60</v>
      </c>
      <c r="O534" s="268" t="s">
        <v>61</v>
      </c>
      <c r="P534" s="268" t="s">
        <v>148</v>
      </c>
      <c r="Q534" s="89">
        <v>7210000</v>
      </c>
      <c r="R534" s="270">
        <v>1</v>
      </c>
      <c r="S534" s="89">
        <v>82915000</v>
      </c>
      <c r="T534" s="268" t="s">
        <v>67</v>
      </c>
      <c r="U534" s="268" t="s">
        <v>68</v>
      </c>
      <c r="V534" s="271">
        <v>43112</v>
      </c>
      <c r="W534" s="268">
        <v>11.5</v>
      </c>
      <c r="X534" s="267" t="s">
        <v>149</v>
      </c>
      <c r="Y534" s="271">
        <v>43102</v>
      </c>
      <c r="Z534" s="269">
        <v>82915000</v>
      </c>
      <c r="AA534" s="268"/>
      <c r="AB534" s="293">
        <v>81</v>
      </c>
      <c r="AC534" s="6" t="s">
        <v>1481</v>
      </c>
      <c r="AD534" s="272">
        <v>82915000</v>
      </c>
      <c r="AE534" s="272">
        <f t="shared" si="64"/>
        <v>0</v>
      </c>
      <c r="AF534" s="293">
        <v>81</v>
      </c>
      <c r="AG534" s="293">
        <v>56</v>
      </c>
      <c r="AH534" s="294">
        <v>43116</v>
      </c>
      <c r="AI534" s="89">
        <v>82915000</v>
      </c>
      <c r="AJ534" s="295" t="s">
        <v>1819</v>
      </c>
      <c r="AK534" s="296">
        <v>44</v>
      </c>
      <c r="AL534" s="6"/>
      <c r="AM534" s="89">
        <v>17784667</v>
      </c>
      <c r="AN534" s="297">
        <v>65130333</v>
      </c>
      <c r="AO534" s="268" t="s">
        <v>140</v>
      </c>
      <c r="AP534" s="273">
        <f t="shared" si="63"/>
        <v>0</v>
      </c>
      <c r="AQ534" s="268"/>
      <c r="AR534" s="271"/>
      <c r="AS534" s="268"/>
      <c r="AT534" s="271"/>
      <c r="AU534" s="268"/>
    </row>
    <row r="535" spans="1:47" ht="76.5" x14ac:dyDescent="0.25">
      <c r="A535" s="267">
        <v>27</v>
      </c>
      <c r="B535" s="267" t="s">
        <v>150</v>
      </c>
      <c r="C535" s="284" t="s">
        <v>50</v>
      </c>
      <c r="D535" s="284" t="s">
        <v>51</v>
      </c>
      <c r="E535" s="284" t="s">
        <v>89</v>
      </c>
      <c r="F535" s="285" t="s">
        <v>53</v>
      </c>
      <c r="G535" s="285" t="s">
        <v>54</v>
      </c>
      <c r="H535" s="284" t="s">
        <v>55</v>
      </c>
      <c r="I535" s="268" t="s">
        <v>56</v>
      </c>
      <c r="J535" s="268" t="s">
        <v>57</v>
      </c>
      <c r="K535" s="268">
        <v>80111600</v>
      </c>
      <c r="L535" s="268" t="s">
        <v>58</v>
      </c>
      <c r="M535" s="268" t="s">
        <v>59</v>
      </c>
      <c r="N535" s="268" t="s">
        <v>60</v>
      </c>
      <c r="O535" s="268" t="s">
        <v>61</v>
      </c>
      <c r="P535" s="268" t="s">
        <v>151</v>
      </c>
      <c r="Q535" s="89">
        <v>7210000</v>
      </c>
      <c r="R535" s="270">
        <v>1</v>
      </c>
      <c r="S535" s="89">
        <v>5278500</v>
      </c>
      <c r="T535" s="268" t="s">
        <v>67</v>
      </c>
      <c r="U535" s="268" t="s">
        <v>68</v>
      </c>
      <c r="V535" s="271">
        <v>43112</v>
      </c>
      <c r="W535" s="268">
        <v>11.5</v>
      </c>
      <c r="X535" s="275" t="s">
        <v>152</v>
      </c>
      <c r="Y535" s="271">
        <v>43102</v>
      </c>
      <c r="Z535" s="269"/>
      <c r="AA535" s="268" t="s">
        <v>153</v>
      </c>
      <c r="AB535" s="298"/>
      <c r="AC535" s="6"/>
      <c r="AD535" s="272"/>
      <c r="AE535" s="272">
        <f t="shared" si="64"/>
        <v>5278500</v>
      </c>
      <c r="AF535" s="293"/>
      <c r="AG535" s="295"/>
      <c r="AH535" s="295"/>
      <c r="AI535" s="89"/>
      <c r="AJ535" s="295"/>
      <c r="AK535" s="295"/>
      <c r="AL535" s="268"/>
      <c r="AM535" s="89"/>
      <c r="AN535" s="295"/>
      <c r="AO535" s="268" t="s">
        <v>140</v>
      </c>
      <c r="AP535" s="273">
        <f t="shared" si="63"/>
        <v>5278500</v>
      </c>
      <c r="AQ535" s="268" t="s">
        <v>71</v>
      </c>
      <c r="AR535" s="271"/>
      <c r="AS535" s="268"/>
      <c r="AT535" s="271"/>
      <c r="AU535" s="268"/>
    </row>
    <row r="536" spans="1:47" ht="76.5" x14ac:dyDescent="0.25">
      <c r="A536" s="267">
        <v>28</v>
      </c>
      <c r="B536" s="267" t="s">
        <v>154</v>
      </c>
      <c r="C536" s="284" t="s">
        <v>50</v>
      </c>
      <c r="D536" s="284" t="s">
        <v>51</v>
      </c>
      <c r="E536" s="284" t="s">
        <v>89</v>
      </c>
      <c r="F536" s="285" t="s">
        <v>53</v>
      </c>
      <c r="G536" s="285" t="s">
        <v>54</v>
      </c>
      <c r="H536" s="284" t="s">
        <v>55</v>
      </c>
      <c r="I536" s="268" t="s">
        <v>56</v>
      </c>
      <c r="J536" s="268" t="s">
        <v>57</v>
      </c>
      <c r="K536" s="268">
        <v>80111600</v>
      </c>
      <c r="L536" s="268" t="s">
        <v>58</v>
      </c>
      <c r="M536" s="268" t="s">
        <v>59</v>
      </c>
      <c r="N536" s="268" t="s">
        <v>60</v>
      </c>
      <c r="O536" s="268" t="s">
        <v>61</v>
      </c>
      <c r="P536" s="268" t="s">
        <v>155</v>
      </c>
      <c r="Q536" s="89">
        <v>6695000</v>
      </c>
      <c r="R536" s="270">
        <v>1</v>
      </c>
      <c r="S536" s="89">
        <v>76992500</v>
      </c>
      <c r="T536" s="268" t="s">
        <v>67</v>
      </c>
      <c r="U536" s="268" t="s">
        <v>68</v>
      </c>
      <c r="V536" s="271">
        <v>43112</v>
      </c>
      <c r="W536" s="268">
        <v>11.5</v>
      </c>
      <c r="X536" s="267" t="s">
        <v>156</v>
      </c>
      <c r="Y536" s="271">
        <v>43102</v>
      </c>
      <c r="Z536" s="269">
        <v>76992500</v>
      </c>
      <c r="AA536" s="268"/>
      <c r="AB536" s="293">
        <v>82</v>
      </c>
      <c r="AC536" s="6" t="s">
        <v>1481</v>
      </c>
      <c r="AD536" s="272">
        <v>76992500</v>
      </c>
      <c r="AE536" s="272">
        <f t="shared" si="64"/>
        <v>0</v>
      </c>
      <c r="AF536" s="293">
        <v>82</v>
      </c>
      <c r="AG536" s="293">
        <v>57</v>
      </c>
      <c r="AH536" s="294">
        <v>43116</v>
      </c>
      <c r="AI536" s="89">
        <v>76992500</v>
      </c>
      <c r="AJ536" s="295" t="s">
        <v>1820</v>
      </c>
      <c r="AK536" s="296">
        <v>43</v>
      </c>
      <c r="AL536" s="6"/>
      <c r="AM536" s="89">
        <v>16514333</v>
      </c>
      <c r="AN536" s="297">
        <v>60478167</v>
      </c>
      <c r="AO536" s="268" t="s">
        <v>140</v>
      </c>
      <c r="AP536" s="273">
        <f t="shared" si="63"/>
        <v>0</v>
      </c>
      <c r="AQ536" s="268"/>
      <c r="AR536" s="271"/>
      <c r="AS536" s="268"/>
      <c r="AT536" s="271"/>
      <c r="AU536" s="268"/>
    </row>
    <row r="537" spans="1:47" ht="76.5" x14ac:dyDescent="0.25">
      <c r="A537" s="267">
        <v>28</v>
      </c>
      <c r="B537" s="267" t="s">
        <v>154</v>
      </c>
      <c r="C537" s="284" t="s">
        <v>50</v>
      </c>
      <c r="D537" s="284" t="s">
        <v>51</v>
      </c>
      <c r="E537" s="284" t="s">
        <v>89</v>
      </c>
      <c r="F537" s="285" t="s">
        <v>53</v>
      </c>
      <c r="G537" s="285" t="s">
        <v>54</v>
      </c>
      <c r="H537" s="284" t="s">
        <v>55</v>
      </c>
      <c r="I537" s="268"/>
      <c r="J537" s="268"/>
      <c r="K537" s="268"/>
      <c r="L537" s="268"/>
      <c r="M537" s="268"/>
      <c r="N537" s="268"/>
      <c r="O537" s="268"/>
      <c r="P537" s="268"/>
      <c r="Q537" s="89"/>
      <c r="R537" s="270"/>
      <c r="S537" s="89"/>
      <c r="T537" s="268"/>
      <c r="U537" s="268"/>
      <c r="V537" s="271"/>
      <c r="W537" s="268"/>
      <c r="X537" s="267"/>
      <c r="Y537" s="271"/>
      <c r="Z537" s="269"/>
      <c r="AA537" s="268"/>
      <c r="AB537" s="298"/>
      <c r="AC537" s="6"/>
      <c r="AD537" s="272"/>
      <c r="AE537" s="272">
        <f t="shared" si="64"/>
        <v>0</v>
      </c>
      <c r="AF537" s="293"/>
      <c r="AG537" s="295"/>
      <c r="AH537" s="295"/>
      <c r="AI537" s="89"/>
      <c r="AJ537" s="295"/>
      <c r="AK537" s="295"/>
      <c r="AL537" s="268"/>
      <c r="AM537" s="89"/>
      <c r="AN537" s="295"/>
      <c r="AO537" s="268" t="s">
        <v>140</v>
      </c>
      <c r="AP537" s="273">
        <f t="shared" si="63"/>
        <v>0</v>
      </c>
      <c r="AQ537" s="268"/>
      <c r="AR537" s="271"/>
      <c r="AS537" s="268"/>
      <c r="AT537" s="271"/>
      <c r="AU537" s="268"/>
    </row>
    <row r="538" spans="1:47" ht="76.5" x14ac:dyDescent="0.25">
      <c r="A538" s="267">
        <v>29</v>
      </c>
      <c r="B538" s="267" t="s">
        <v>157</v>
      </c>
      <c r="C538" s="284" t="s">
        <v>50</v>
      </c>
      <c r="D538" s="284" t="s">
        <v>51</v>
      </c>
      <c r="E538" s="284" t="s">
        <v>89</v>
      </c>
      <c r="F538" s="285" t="s">
        <v>53</v>
      </c>
      <c r="G538" s="285" t="s">
        <v>54</v>
      </c>
      <c r="H538" s="284" t="s">
        <v>55</v>
      </c>
      <c r="I538" s="268" t="s">
        <v>56</v>
      </c>
      <c r="J538" s="268" t="s">
        <v>57</v>
      </c>
      <c r="K538" s="268">
        <v>80111600</v>
      </c>
      <c r="L538" s="268" t="s">
        <v>58</v>
      </c>
      <c r="M538" s="268" t="s">
        <v>59</v>
      </c>
      <c r="N538" s="268" t="s">
        <v>60</v>
      </c>
      <c r="O538" s="268" t="s">
        <v>61</v>
      </c>
      <c r="P538" s="268" t="s">
        <v>142</v>
      </c>
      <c r="Q538" s="89">
        <v>6180000</v>
      </c>
      <c r="R538" s="270">
        <v>1</v>
      </c>
      <c r="S538" s="89">
        <v>76992500</v>
      </c>
      <c r="T538" s="268" t="s">
        <v>67</v>
      </c>
      <c r="U538" s="268" t="s">
        <v>68</v>
      </c>
      <c r="V538" s="271">
        <v>43112</v>
      </c>
      <c r="W538" s="268">
        <v>11.5</v>
      </c>
      <c r="X538" s="274" t="s">
        <v>1821</v>
      </c>
      <c r="Y538" s="271">
        <v>43109</v>
      </c>
      <c r="Z538" s="269">
        <v>76992500</v>
      </c>
      <c r="AA538" s="268" t="s">
        <v>158</v>
      </c>
      <c r="AB538" s="293">
        <v>442</v>
      </c>
      <c r="AC538" s="6" t="s">
        <v>1575</v>
      </c>
      <c r="AD538" s="272">
        <v>76992500</v>
      </c>
      <c r="AE538" s="272">
        <f t="shared" si="64"/>
        <v>0</v>
      </c>
      <c r="AF538" s="293">
        <v>442</v>
      </c>
      <c r="AG538" s="293">
        <v>50</v>
      </c>
      <c r="AH538" s="294">
        <v>43116</v>
      </c>
      <c r="AI538" s="89">
        <v>76992500</v>
      </c>
      <c r="AJ538" s="295" t="s">
        <v>1822</v>
      </c>
      <c r="AK538" s="296">
        <v>38</v>
      </c>
      <c r="AL538" s="6"/>
      <c r="AM538" s="89">
        <v>16514333</v>
      </c>
      <c r="AN538" s="297">
        <v>60478167</v>
      </c>
      <c r="AO538" s="268" t="s">
        <v>140</v>
      </c>
      <c r="AP538" s="273">
        <f t="shared" si="63"/>
        <v>0</v>
      </c>
      <c r="AQ538" s="268"/>
      <c r="AR538" s="271">
        <v>43109</v>
      </c>
      <c r="AS538" s="268" t="s">
        <v>159</v>
      </c>
      <c r="AT538" s="271">
        <v>43109</v>
      </c>
      <c r="AU538" s="268"/>
    </row>
    <row r="539" spans="1:47" ht="76.5" x14ac:dyDescent="0.25">
      <c r="A539" s="267">
        <v>30</v>
      </c>
      <c r="B539" s="267" t="s">
        <v>160</v>
      </c>
      <c r="C539" s="284" t="s">
        <v>50</v>
      </c>
      <c r="D539" s="284" t="s">
        <v>51</v>
      </c>
      <c r="E539" s="284" t="s">
        <v>89</v>
      </c>
      <c r="F539" s="285" t="s">
        <v>53</v>
      </c>
      <c r="G539" s="285" t="s">
        <v>54</v>
      </c>
      <c r="H539" s="284" t="s">
        <v>55</v>
      </c>
      <c r="I539" s="268" t="s">
        <v>56</v>
      </c>
      <c r="J539" s="268" t="s">
        <v>57</v>
      </c>
      <c r="K539" s="268">
        <v>80111600</v>
      </c>
      <c r="L539" s="268" t="s">
        <v>58</v>
      </c>
      <c r="M539" s="268" t="s">
        <v>59</v>
      </c>
      <c r="N539" s="268" t="s">
        <v>60</v>
      </c>
      <c r="O539" s="268" t="s">
        <v>61</v>
      </c>
      <c r="P539" s="268" t="s">
        <v>142</v>
      </c>
      <c r="Q539" s="89">
        <v>7210000</v>
      </c>
      <c r="R539" s="270">
        <v>1</v>
      </c>
      <c r="S539" s="89">
        <v>82915000</v>
      </c>
      <c r="T539" s="268" t="s">
        <v>67</v>
      </c>
      <c r="U539" s="268" t="s">
        <v>68</v>
      </c>
      <c r="V539" s="271">
        <v>43112</v>
      </c>
      <c r="W539" s="268">
        <v>11.5</v>
      </c>
      <c r="X539" s="267" t="s">
        <v>161</v>
      </c>
      <c r="Y539" s="6" t="s">
        <v>162</v>
      </c>
      <c r="Z539" s="269">
        <v>82915000</v>
      </c>
      <c r="AA539" s="268"/>
      <c r="AB539" s="293">
        <v>84</v>
      </c>
      <c r="AC539" s="6" t="s">
        <v>1481</v>
      </c>
      <c r="AD539" s="272">
        <v>82915000</v>
      </c>
      <c r="AE539" s="272">
        <f t="shared" si="64"/>
        <v>0</v>
      </c>
      <c r="AF539" s="293">
        <v>84</v>
      </c>
      <c r="AG539" s="293">
        <v>452</v>
      </c>
      <c r="AH539" s="294">
        <v>43125</v>
      </c>
      <c r="AI539" s="89">
        <v>82915000</v>
      </c>
      <c r="AJ539" s="295" t="s">
        <v>1823</v>
      </c>
      <c r="AK539" s="296">
        <v>382</v>
      </c>
      <c r="AL539" s="6"/>
      <c r="AM539" s="89">
        <v>15621667</v>
      </c>
      <c r="AN539" s="297">
        <v>67293333</v>
      </c>
      <c r="AO539" s="268" t="s">
        <v>140</v>
      </c>
      <c r="AP539" s="273">
        <f t="shared" si="63"/>
        <v>0</v>
      </c>
      <c r="AQ539" s="268"/>
      <c r="AR539" s="271"/>
      <c r="AS539" s="268"/>
      <c r="AT539" s="271"/>
      <c r="AU539" s="268"/>
    </row>
    <row r="540" spans="1:47" ht="76.5" x14ac:dyDescent="0.25">
      <c r="A540" s="267">
        <v>31</v>
      </c>
      <c r="B540" s="267" t="s">
        <v>163</v>
      </c>
      <c r="C540" s="284" t="s">
        <v>50</v>
      </c>
      <c r="D540" s="284" t="s">
        <v>51</v>
      </c>
      <c r="E540" s="284" t="s">
        <v>89</v>
      </c>
      <c r="F540" s="285" t="s">
        <v>53</v>
      </c>
      <c r="G540" s="285" t="s">
        <v>54</v>
      </c>
      <c r="H540" s="284" t="s">
        <v>55</v>
      </c>
      <c r="I540" s="277" t="s">
        <v>56</v>
      </c>
      <c r="J540" s="277" t="s">
        <v>57</v>
      </c>
      <c r="K540" s="277">
        <v>80111600</v>
      </c>
      <c r="L540" s="277" t="s">
        <v>58</v>
      </c>
      <c r="M540" s="277" t="s">
        <v>59</v>
      </c>
      <c r="N540" s="277" t="s">
        <v>60</v>
      </c>
      <c r="O540" s="277" t="s">
        <v>61</v>
      </c>
      <c r="P540" s="277" t="s">
        <v>164</v>
      </c>
      <c r="Q540" s="89">
        <v>10300000</v>
      </c>
      <c r="R540" s="279">
        <v>1</v>
      </c>
      <c r="S540" s="89">
        <v>113300000</v>
      </c>
      <c r="T540" s="277" t="s">
        <v>67</v>
      </c>
      <c r="U540" s="277" t="s">
        <v>68</v>
      </c>
      <c r="V540" s="280">
        <v>43112</v>
      </c>
      <c r="W540" s="277">
        <v>11</v>
      </c>
      <c r="X540" s="276" t="s">
        <v>165</v>
      </c>
      <c r="Y540" s="281" t="s">
        <v>162</v>
      </c>
      <c r="Z540" s="278">
        <v>113300000</v>
      </c>
      <c r="AA540" s="277"/>
      <c r="AB540" s="299">
        <v>29</v>
      </c>
      <c r="AC540" s="281" t="s">
        <v>162</v>
      </c>
      <c r="AD540" s="282">
        <v>113300000</v>
      </c>
      <c r="AE540" s="282">
        <f t="shared" si="64"/>
        <v>0</v>
      </c>
      <c r="AF540" s="299">
        <v>29</v>
      </c>
      <c r="AG540" s="299">
        <v>1</v>
      </c>
      <c r="AH540" s="300">
        <v>43105</v>
      </c>
      <c r="AI540" s="89">
        <v>113300000</v>
      </c>
      <c r="AJ540" s="301" t="s">
        <v>1824</v>
      </c>
      <c r="AK540" s="302">
        <v>1</v>
      </c>
      <c r="AL540" s="281"/>
      <c r="AM540" s="89">
        <v>29526667</v>
      </c>
      <c r="AN540" s="297">
        <v>83773333</v>
      </c>
      <c r="AO540" s="268" t="s">
        <v>140</v>
      </c>
      <c r="AP540" s="273">
        <f t="shared" si="63"/>
        <v>0</v>
      </c>
      <c r="AQ540" s="268"/>
      <c r="AR540" s="271"/>
      <c r="AS540" s="268"/>
      <c r="AT540" s="271"/>
      <c r="AU540" s="268"/>
    </row>
    <row r="541" spans="1:47" ht="76.5" x14ac:dyDescent="0.25">
      <c r="A541" s="267">
        <v>32</v>
      </c>
      <c r="B541" s="267" t="s">
        <v>166</v>
      </c>
      <c r="C541" s="284" t="s">
        <v>50</v>
      </c>
      <c r="D541" s="284" t="s">
        <v>51</v>
      </c>
      <c r="E541" s="284" t="s">
        <v>52</v>
      </c>
      <c r="F541" s="285" t="s">
        <v>53</v>
      </c>
      <c r="G541" s="285" t="s">
        <v>54</v>
      </c>
      <c r="H541" s="284" t="s">
        <v>55</v>
      </c>
      <c r="I541" s="277" t="s">
        <v>56</v>
      </c>
      <c r="J541" s="277" t="s">
        <v>57</v>
      </c>
      <c r="K541" s="277">
        <v>80111600</v>
      </c>
      <c r="L541" s="277" t="s">
        <v>58</v>
      </c>
      <c r="M541" s="277" t="s">
        <v>59</v>
      </c>
      <c r="N541" s="277" t="s">
        <v>60</v>
      </c>
      <c r="O541" s="277" t="s">
        <v>61</v>
      </c>
      <c r="P541" s="277" t="s">
        <v>167</v>
      </c>
      <c r="Q541" s="89">
        <v>10300000</v>
      </c>
      <c r="R541" s="279">
        <v>1</v>
      </c>
      <c r="S541" s="89">
        <v>113300000</v>
      </c>
      <c r="T541" s="277" t="s">
        <v>67</v>
      </c>
      <c r="U541" s="277" t="s">
        <v>68</v>
      </c>
      <c r="V541" s="280">
        <v>43112</v>
      </c>
      <c r="W541" s="277">
        <v>11</v>
      </c>
      <c r="X541" s="276" t="s">
        <v>168</v>
      </c>
      <c r="Y541" s="281" t="s">
        <v>162</v>
      </c>
      <c r="Z541" s="278">
        <v>113300000</v>
      </c>
      <c r="AA541" s="277"/>
      <c r="AB541" s="299">
        <v>85</v>
      </c>
      <c r="AC541" s="281" t="s">
        <v>1481</v>
      </c>
      <c r="AD541" s="282">
        <v>113300000</v>
      </c>
      <c r="AE541" s="282">
        <f t="shared" si="64"/>
        <v>0</v>
      </c>
      <c r="AF541" s="299">
        <v>85</v>
      </c>
      <c r="AG541" s="299">
        <v>93</v>
      </c>
      <c r="AH541" s="300">
        <v>43116</v>
      </c>
      <c r="AI541" s="89">
        <v>113300000</v>
      </c>
      <c r="AJ541" s="301" t="s">
        <v>1825</v>
      </c>
      <c r="AK541" s="302">
        <v>76</v>
      </c>
      <c r="AL541" s="281"/>
      <c r="AM541" s="89">
        <v>25406667</v>
      </c>
      <c r="AN541" s="297">
        <v>87893333</v>
      </c>
      <c r="AO541" s="268" t="s">
        <v>140</v>
      </c>
      <c r="AP541" s="273">
        <f t="shared" si="63"/>
        <v>0</v>
      </c>
      <c r="AQ541" s="268"/>
      <c r="AR541" s="271"/>
      <c r="AS541" s="268"/>
      <c r="AT541" s="271"/>
      <c r="AU541" s="268"/>
    </row>
    <row r="542" spans="1:47" ht="76.5" x14ac:dyDescent="0.25">
      <c r="A542" s="267">
        <v>33</v>
      </c>
      <c r="B542" s="267" t="s">
        <v>169</v>
      </c>
      <c r="C542" s="284" t="s">
        <v>50</v>
      </c>
      <c r="D542" s="284" t="s">
        <v>51</v>
      </c>
      <c r="E542" s="284" t="s">
        <v>89</v>
      </c>
      <c r="F542" s="285" t="s">
        <v>53</v>
      </c>
      <c r="G542" s="285" t="s">
        <v>54</v>
      </c>
      <c r="H542" s="284" t="s">
        <v>55</v>
      </c>
      <c r="I542" s="268" t="s">
        <v>56</v>
      </c>
      <c r="J542" s="268" t="s">
        <v>57</v>
      </c>
      <c r="K542" s="268">
        <v>80111600</v>
      </c>
      <c r="L542" s="268" t="s">
        <v>58</v>
      </c>
      <c r="M542" s="268" t="s">
        <v>59</v>
      </c>
      <c r="N542" s="268" t="s">
        <v>60</v>
      </c>
      <c r="O542" s="268" t="s">
        <v>61</v>
      </c>
      <c r="P542" s="268" t="s">
        <v>170</v>
      </c>
      <c r="Q542" s="89">
        <v>7210000</v>
      </c>
      <c r="R542" s="270">
        <v>1</v>
      </c>
      <c r="S542" s="89">
        <v>82915000</v>
      </c>
      <c r="T542" s="268" t="s">
        <v>67</v>
      </c>
      <c r="U542" s="268" t="s">
        <v>68</v>
      </c>
      <c r="V542" s="271">
        <v>43112</v>
      </c>
      <c r="W542" s="268">
        <v>11.5</v>
      </c>
      <c r="X542" s="267" t="s">
        <v>171</v>
      </c>
      <c r="Y542" s="6" t="s">
        <v>162</v>
      </c>
      <c r="Z542" s="269">
        <v>82915000</v>
      </c>
      <c r="AA542" s="268"/>
      <c r="AB542" s="293">
        <v>86</v>
      </c>
      <c r="AC542" s="6" t="s">
        <v>1481</v>
      </c>
      <c r="AD542" s="272">
        <v>82915000</v>
      </c>
      <c r="AE542" s="272">
        <f t="shared" si="64"/>
        <v>0</v>
      </c>
      <c r="AF542" s="293">
        <v>86</v>
      </c>
      <c r="AG542" s="293">
        <v>310</v>
      </c>
      <c r="AH542" s="294">
        <v>43122</v>
      </c>
      <c r="AI542" s="89">
        <v>82915000</v>
      </c>
      <c r="AJ542" s="295" t="s">
        <v>1826</v>
      </c>
      <c r="AK542" s="296">
        <v>281</v>
      </c>
      <c r="AL542" s="6"/>
      <c r="AM542" s="89">
        <v>16342667</v>
      </c>
      <c r="AN542" s="297">
        <v>66572333</v>
      </c>
      <c r="AO542" s="268" t="s">
        <v>140</v>
      </c>
      <c r="AP542" s="273">
        <f t="shared" si="63"/>
        <v>0</v>
      </c>
      <c r="AQ542" s="268"/>
      <c r="AR542" s="271"/>
      <c r="AS542" s="268"/>
      <c r="AT542" s="271"/>
      <c r="AU542" s="268"/>
    </row>
    <row r="543" spans="1:47" ht="76.5" x14ac:dyDescent="0.25">
      <c r="A543" s="267">
        <v>34</v>
      </c>
      <c r="B543" s="267" t="s">
        <v>172</v>
      </c>
      <c r="C543" s="284" t="s">
        <v>50</v>
      </c>
      <c r="D543" s="284" t="s">
        <v>51</v>
      </c>
      <c r="E543" s="284" t="s">
        <v>89</v>
      </c>
      <c r="F543" s="285" t="s">
        <v>53</v>
      </c>
      <c r="G543" s="285" t="s">
        <v>54</v>
      </c>
      <c r="H543" s="284" t="s">
        <v>55</v>
      </c>
      <c r="I543" s="268" t="s">
        <v>56</v>
      </c>
      <c r="J543" s="268" t="s">
        <v>57</v>
      </c>
      <c r="K543" s="268">
        <v>80111600</v>
      </c>
      <c r="L543" s="268" t="s">
        <v>58</v>
      </c>
      <c r="M543" s="268" t="s">
        <v>59</v>
      </c>
      <c r="N543" s="268" t="s">
        <v>60</v>
      </c>
      <c r="O543" s="268" t="s">
        <v>61</v>
      </c>
      <c r="P543" s="268" t="s">
        <v>142</v>
      </c>
      <c r="Q543" s="89">
        <v>6180000</v>
      </c>
      <c r="R543" s="270">
        <v>1</v>
      </c>
      <c r="S543" s="89">
        <v>76992500</v>
      </c>
      <c r="T543" s="268" t="s">
        <v>67</v>
      </c>
      <c r="U543" s="268" t="s">
        <v>68</v>
      </c>
      <c r="V543" s="271">
        <v>43112</v>
      </c>
      <c r="W543" s="268">
        <v>11.5</v>
      </c>
      <c r="X543" s="274" t="s">
        <v>1827</v>
      </c>
      <c r="Y543" s="271">
        <v>43109</v>
      </c>
      <c r="Z543" s="269">
        <v>76992500</v>
      </c>
      <c r="AA543" s="268" t="s">
        <v>158</v>
      </c>
      <c r="AB543" s="293">
        <v>443</v>
      </c>
      <c r="AC543" s="6" t="s">
        <v>1575</v>
      </c>
      <c r="AD543" s="272">
        <v>76992500</v>
      </c>
      <c r="AE543" s="272">
        <f t="shared" si="64"/>
        <v>0</v>
      </c>
      <c r="AF543" s="293">
        <v>443</v>
      </c>
      <c r="AG543" s="293">
        <v>26</v>
      </c>
      <c r="AH543" s="294">
        <v>43115</v>
      </c>
      <c r="AI543" s="89">
        <v>76992500</v>
      </c>
      <c r="AJ543" s="295" t="s">
        <v>1828</v>
      </c>
      <c r="AK543" s="296">
        <v>24</v>
      </c>
      <c r="AL543" s="6"/>
      <c r="AM543" s="89">
        <v>16737500</v>
      </c>
      <c r="AN543" s="297">
        <v>60255000</v>
      </c>
      <c r="AO543" s="268" t="s">
        <v>140</v>
      </c>
      <c r="AP543" s="273">
        <f t="shared" si="63"/>
        <v>0</v>
      </c>
      <c r="AQ543" s="268"/>
      <c r="AR543" s="271">
        <v>43109</v>
      </c>
      <c r="AS543" s="268" t="s">
        <v>173</v>
      </c>
      <c r="AT543" s="271">
        <v>43109</v>
      </c>
      <c r="AU543" s="268"/>
    </row>
    <row r="544" spans="1:47" ht="76.5" x14ac:dyDescent="0.25">
      <c r="A544" s="267">
        <v>35</v>
      </c>
      <c r="B544" s="267" t="s">
        <v>174</v>
      </c>
      <c r="C544" s="284" t="s">
        <v>50</v>
      </c>
      <c r="D544" s="284" t="s">
        <v>51</v>
      </c>
      <c r="E544" s="284" t="s">
        <v>52</v>
      </c>
      <c r="F544" s="285" t="s">
        <v>53</v>
      </c>
      <c r="G544" s="285" t="s">
        <v>54</v>
      </c>
      <c r="H544" s="284" t="s">
        <v>55</v>
      </c>
      <c r="I544" s="268" t="s">
        <v>56</v>
      </c>
      <c r="J544" s="268" t="s">
        <v>57</v>
      </c>
      <c r="K544" s="268">
        <v>80111600</v>
      </c>
      <c r="L544" s="268" t="s">
        <v>58</v>
      </c>
      <c r="M544" s="268" t="s">
        <v>59</v>
      </c>
      <c r="N544" s="268" t="s">
        <v>60</v>
      </c>
      <c r="O544" s="268" t="s">
        <v>61</v>
      </c>
      <c r="P544" s="268" t="s">
        <v>175</v>
      </c>
      <c r="Q544" s="89">
        <v>3553500</v>
      </c>
      <c r="R544" s="270">
        <v>1</v>
      </c>
      <c r="S544" s="89">
        <v>40865250</v>
      </c>
      <c r="T544" s="268" t="s">
        <v>67</v>
      </c>
      <c r="U544" s="268" t="s">
        <v>68</v>
      </c>
      <c r="V544" s="271">
        <v>43112</v>
      </c>
      <c r="W544" s="268">
        <v>11.5</v>
      </c>
      <c r="X544" s="267" t="s">
        <v>176</v>
      </c>
      <c r="Y544" s="271">
        <v>43102</v>
      </c>
      <c r="Z544" s="269">
        <v>40865250</v>
      </c>
      <c r="AA544" s="268"/>
      <c r="AB544" s="293">
        <v>88</v>
      </c>
      <c r="AC544" s="6" t="s">
        <v>1481</v>
      </c>
      <c r="AD544" s="272">
        <v>40865250</v>
      </c>
      <c r="AE544" s="272">
        <f t="shared" si="64"/>
        <v>0</v>
      </c>
      <c r="AF544" s="293">
        <v>88</v>
      </c>
      <c r="AG544" s="293">
        <v>52</v>
      </c>
      <c r="AH544" s="294">
        <v>43116</v>
      </c>
      <c r="AI544" s="89">
        <v>40865250</v>
      </c>
      <c r="AJ544" s="295" t="s">
        <v>1829</v>
      </c>
      <c r="AK544" s="296">
        <v>54</v>
      </c>
      <c r="AL544" s="6"/>
      <c r="AM544" s="89">
        <v>8765300</v>
      </c>
      <c r="AN544" s="297">
        <v>32099950</v>
      </c>
      <c r="AO544" s="268" t="s">
        <v>140</v>
      </c>
      <c r="AP544" s="273">
        <f t="shared" si="63"/>
        <v>0</v>
      </c>
      <c r="AQ544" s="268"/>
      <c r="AR544" s="271"/>
      <c r="AS544" s="268"/>
      <c r="AT544" s="271"/>
      <c r="AU544" s="268"/>
    </row>
    <row r="545" spans="1:47" ht="76.5" x14ac:dyDescent="0.25">
      <c r="A545" s="267">
        <v>36</v>
      </c>
      <c r="B545" s="267" t="s">
        <v>177</v>
      </c>
      <c r="C545" s="284" t="s">
        <v>50</v>
      </c>
      <c r="D545" s="284" t="s">
        <v>51</v>
      </c>
      <c r="E545" s="284" t="s">
        <v>52</v>
      </c>
      <c r="F545" s="285" t="s">
        <v>53</v>
      </c>
      <c r="G545" s="285" t="s">
        <v>54</v>
      </c>
      <c r="H545" s="284" t="s">
        <v>55</v>
      </c>
      <c r="I545" s="268" t="s">
        <v>56</v>
      </c>
      <c r="J545" s="268" t="s">
        <v>57</v>
      </c>
      <c r="K545" s="268">
        <v>80111600</v>
      </c>
      <c r="L545" s="268" t="s">
        <v>58</v>
      </c>
      <c r="M545" s="268" t="s">
        <v>59</v>
      </c>
      <c r="N545" s="268" t="s">
        <v>60</v>
      </c>
      <c r="O545" s="268" t="s">
        <v>61</v>
      </c>
      <c r="P545" s="268" t="s">
        <v>142</v>
      </c>
      <c r="Q545" s="89">
        <v>4532000</v>
      </c>
      <c r="R545" s="270">
        <v>1</v>
      </c>
      <c r="S545" s="89">
        <v>52118000</v>
      </c>
      <c r="T545" s="268" t="s">
        <v>67</v>
      </c>
      <c r="U545" s="268" t="s">
        <v>68</v>
      </c>
      <c r="V545" s="271">
        <v>43112</v>
      </c>
      <c r="W545" s="268">
        <v>11.5</v>
      </c>
      <c r="X545" s="267" t="s">
        <v>178</v>
      </c>
      <c r="Y545" s="271">
        <v>43102</v>
      </c>
      <c r="Z545" s="269">
        <v>52118000</v>
      </c>
      <c r="AA545" s="268"/>
      <c r="AB545" s="293">
        <v>89</v>
      </c>
      <c r="AC545" s="6" t="s">
        <v>1481</v>
      </c>
      <c r="AD545" s="272">
        <v>51211600</v>
      </c>
      <c r="AE545" s="272">
        <f t="shared" si="64"/>
        <v>906400</v>
      </c>
      <c r="AF545" s="293">
        <v>89</v>
      </c>
      <c r="AG545" s="293">
        <v>300</v>
      </c>
      <c r="AH545" s="294">
        <v>43122</v>
      </c>
      <c r="AI545" s="89">
        <v>51211600</v>
      </c>
      <c r="AJ545" s="295" t="s">
        <v>1830</v>
      </c>
      <c r="AK545" s="296">
        <v>265</v>
      </c>
      <c r="AL545" s="6"/>
      <c r="AM545" s="89">
        <v>10272533</v>
      </c>
      <c r="AN545" s="297">
        <v>40939067</v>
      </c>
      <c r="AO545" s="268" t="s">
        <v>140</v>
      </c>
      <c r="AP545" s="273">
        <f t="shared" si="63"/>
        <v>906400</v>
      </c>
      <c r="AQ545" s="268"/>
      <c r="AR545" s="271"/>
      <c r="AS545" s="268"/>
      <c r="AT545" s="271"/>
      <c r="AU545" s="268"/>
    </row>
    <row r="546" spans="1:47" ht="127.5" x14ac:dyDescent="0.25">
      <c r="A546" s="267">
        <v>37</v>
      </c>
      <c r="B546" s="267" t="s">
        <v>179</v>
      </c>
      <c r="C546" s="284" t="s">
        <v>50</v>
      </c>
      <c r="D546" s="284" t="s">
        <v>51</v>
      </c>
      <c r="E546" s="284" t="s">
        <v>52</v>
      </c>
      <c r="F546" s="285" t="s">
        <v>180</v>
      </c>
      <c r="G546" s="285" t="s">
        <v>181</v>
      </c>
      <c r="H546" s="284" t="s">
        <v>182</v>
      </c>
      <c r="I546" s="268" t="s">
        <v>56</v>
      </c>
      <c r="J546" s="268" t="s">
        <v>57</v>
      </c>
      <c r="K546" s="268">
        <v>78131600</v>
      </c>
      <c r="L546" s="268" t="s">
        <v>58</v>
      </c>
      <c r="M546" s="268" t="s">
        <v>59</v>
      </c>
      <c r="N546" s="268" t="s">
        <v>60</v>
      </c>
      <c r="O546" s="268" t="s">
        <v>61</v>
      </c>
      <c r="P546" s="268" t="s">
        <v>183</v>
      </c>
      <c r="Q546" s="89">
        <v>88000000</v>
      </c>
      <c r="R546" s="270">
        <v>1</v>
      </c>
      <c r="S546" s="89">
        <v>704000000</v>
      </c>
      <c r="T546" s="268" t="s">
        <v>184</v>
      </c>
      <c r="U546" s="268" t="s">
        <v>68</v>
      </c>
      <c r="V546" s="271">
        <v>43202</v>
      </c>
      <c r="W546" s="268">
        <v>8</v>
      </c>
      <c r="X546" s="267" t="s">
        <v>178</v>
      </c>
      <c r="Y546" s="271"/>
      <c r="Z546" s="269">
        <v>704000000</v>
      </c>
      <c r="AA546" s="268"/>
      <c r="AB546" s="267"/>
      <c r="AC546" s="268"/>
      <c r="AD546" s="268"/>
      <c r="AE546" s="272">
        <f t="shared" si="64"/>
        <v>704000000</v>
      </c>
      <c r="AF546" s="293"/>
      <c r="AG546" s="295"/>
      <c r="AH546" s="295"/>
      <c r="AI546" s="89"/>
      <c r="AJ546" s="295"/>
      <c r="AK546" s="295"/>
      <c r="AL546" s="295"/>
      <c r="AM546" s="89"/>
      <c r="AN546" s="295"/>
      <c r="AO546" s="268" t="s">
        <v>76</v>
      </c>
      <c r="AP546" s="273">
        <f t="shared" si="63"/>
        <v>704000000</v>
      </c>
      <c r="AQ546" s="268"/>
      <c r="AR546" s="271"/>
      <c r="AS546" s="268"/>
      <c r="AT546" s="271"/>
      <c r="AU546" s="268"/>
    </row>
    <row r="547" spans="1:47" ht="76.5" x14ac:dyDescent="0.25">
      <c r="A547" s="267">
        <v>38</v>
      </c>
      <c r="B547" s="267" t="s">
        <v>185</v>
      </c>
      <c r="C547" s="284" t="s">
        <v>50</v>
      </c>
      <c r="D547" s="284" t="s">
        <v>51</v>
      </c>
      <c r="E547" s="284" t="s">
        <v>52</v>
      </c>
      <c r="F547" s="285" t="s">
        <v>186</v>
      </c>
      <c r="G547" s="285" t="s">
        <v>187</v>
      </c>
      <c r="H547" s="284" t="s">
        <v>188</v>
      </c>
      <c r="I547" s="268" t="s">
        <v>56</v>
      </c>
      <c r="J547" s="268" t="s">
        <v>57</v>
      </c>
      <c r="K547" s="268">
        <v>84111600</v>
      </c>
      <c r="L547" s="268" t="s">
        <v>58</v>
      </c>
      <c r="M547" s="268" t="s">
        <v>59</v>
      </c>
      <c r="N547" s="268" t="s">
        <v>60</v>
      </c>
      <c r="O547" s="268" t="s">
        <v>61</v>
      </c>
      <c r="P547" s="268" t="s">
        <v>189</v>
      </c>
      <c r="Q547" s="89">
        <v>10430609</v>
      </c>
      <c r="R547" s="270">
        <v>1</v>
      </c>
      <c r="S547" s="89">
        <v>10430609</v>
      </c>
      <c r="T547" s="268" t="s">
        <v>184</v>
      </c>
      <c r="U547" s="268" t="s">
        <v>190</v>
      </c>
      <c r="V547" s="271">
        <v>43160</v>
      </c>
      <c r="W547" s="268">
        <v>1</v>
      </c>
      <c r="X547" s="267" t="s">
        <v>191</v>
      </c>
      <c r="Y547" s="271">
        <v>43161</v>
      </c>
      <c r="Z547" s="269">
        <v>10430609</v>
      </c>
      <c r="AA547" s="268" t="s">
        <v>192</v>
      </c>
      <c r="AB547" s="293">
        <v>672</v>
      </c>
      <c r="AC547" s="283">
        <v>43161</v>
      </c>
      <c r="AD547" s="272">
        <v>10430609</v>
      </c>
      <c r="AE547" s="272">
        <f t="shared" si="64"/>
        <v>0</v>
      </c>
      <c r="AF547" s="293">
        <v>672</v>
      </c>
      <c r="AG547" s="293">
        <v>1725</v>
      </c>
      <c r="AH547" s="294">
        <v>43195</v>
      </c>
      <c r="AI547" s="89">
        <v>8782200</v>
      </c>
      <c r="AJ547" s="295" t="s">
        <v>1831</v>
      </c>
      <c r="AK547" s="296">
        <v>431</v>
      </c>
      <c r="AL547" s="268"/>
      <c r="AM547" s="89" t="s">
        <v>1792</v>
      </c>
      <c r="AN547" s="297">
        <v>8782200</v>
      </c>
      <c r="AO547" s="268" t="s">
        <v>76</v>
      </c>
      <c r="AP547" s="273">
        <f t="shared" si="63"/>
        <v>1648409</v>
      </c>
      <c r="AQ547" s="268" t="s">
        <v>193</v>
      </c>
      <c r="AR547" s="271"/>
      <c r="AS547" s="268"/>
      <c r="AT547" s="271"/>
      <c r="AU547" s="268"/>
    </row>
    <row r="548" spans="1:47" ht="76.5" x14ac:dyDescent="0.25">
      <c r="A548" s="267">
        <v>39</v>
      </c>
      <c r="B548" s="267" t="s">
        <v>194</v>
      </c>
      <c r="C548" s="284" t="s">
        <v>50</v>
      </c>
      <c r="D548" s="284" t="s">
        <v>51</v>
      </c>
      <c r="E548" s="284" t="s">
        <v>52</v>
      </c>
      <c r="F548" s="285" t="s">
        <v>186</v>
      </c>
      <c r="G548" s="285" t="s">
        <v>187</v>
      </c>
      <c r="H548" s="284" t="s">
        <v>188</v>
      </c>
      <c r="I548" s="268" t="s">
        <v>56</v>
      </c>
      <c r="J548" s="268" t="s">
        <v>57</v>
      </c>
      <c r="K548" s="268">
        <v>82101600</v>
      </c>
      <c r="L548" s="268" t="s">
        <v>58</v>
      </c>
      <c r="M548" s="268" t="s">
        <v>59</v>
      </c>
      <c r="N548" s="268" t="s">
        <v>60</v>
      </c>
      <c r="O548" s="268" t="s">
        <v>61</v>
      </c>
      <c r="P548" s="268" t="s">
        <v>195</v>
      </c>
      <c r="Q548" s="89">
        <v>6849391</v>
      </c>
      <c r="R548" s="270">
        <v>1</v>
      </c>
      <c r="S548" s="89">
        <v>6849391</v>
      </c>
      <c r="T548" s="268" t="s">
        <v>184</v>
      </c>
      <c r="U548" s="268" t="s">
        <v>190</v>
      </c>
      <c r="V548" s="271">
        <v>43221</v>
      </c>
      <c r="W548" s="268">
        <v>1</v>
      </c>
      <c r="X548" s="267" t="s">
        <v>191</v>
      </c>
      <c r="Y548" s="271"/>
      <c r="Z548" s="269"/>
      <c r="AA548" s="268" t="s">
        <v>196</v>
      </c>
      <c r="AB548" s="267"/>
      <c r="AC548" s="268"/>
      <c r="AD548" s="268"/>
      <c r="AE548" s="272">
        <f t="shared" si="64"/>
        <v>6849391</v>
      </c>
      <c r="AF548" s="295"/>
      <c r="AG548" s="295"/>
      <c r="AH548" s="295"/>
      <c r="AI548" s="89"/>
      <c r="AJ548" s="295"/>
      <c r="AK548" s="295"/>
      <c r="AL548" s="295"/>
      <c r="AM548" s="89"/>
      <c r="AN548" s="295"/>
      <c r="AO548" s="268" t="s">
        <v>65</v>
      </c>
      <c r="AP548" s="273">
        <f t="shared" si="63"/>
        <v>6849391</v>
      </c>
      <c r="AQ548" s="268" t="s">
        <v>197</v>
      </c>
      <c r="AR548" s="271"/>
      <c r="AS548" s="268"/>
      <c r="AT548" s="271"/>
      <c r="AU548" s="268"/>
    </row>
    <row r="549" spans="1:47" ht="76.5" x14ac:dyDescent="0.25">
      <c r="A549" s="267">
        <v>40</v>
      </c>
      <c r="B549" s="267" t="s">
        <v>198</v>
      </c>
      <c r="C549" s="284" t="s">
        <v>50</v>
      </c>
      <c r="D549" s="284" t="s">
        <v>51</v>
      </c>
      <c r="E549" s="284" t="s">
        <v>89</v>
      </c>
      <c r="F549" s="285" t="s">
        <v>186</v>
      </c>
      <c r="G549" s="285" t="s">
        <v>187</v>
      </c>
      <c r="H549" s="284" t="s">
        <v>188</v>
      </c>
      <c r="I549" s="268" t="s">
        <v>56</v>
      </c>
      <c r="J549" s="268" t="s">
        <v>57</v>
      </c>
      <c r="K549" s="268">
        <v>90101600</v>
      </c>
      <c r="L549" s="268" t="s">
        <v>58</v>
      </c>
      <c r="M549" s="268" t="s">
        <v>59</v>
      </c>
      <c r="N549" s="268" t="s">
        <v>60</v>
      </c>
      <c r="O549" s="268" t="s">
        <v>61</v>
      </c>
      <c r="P549" s="268" t="s">
        <v>1832</v>
      </c>
      <c r="Q549" s="89">
        <v>26909090.90909091</v>
      </c>
      <c r="R549" s="270">
        <v>1</v>
      </c>
      <c r="S549" s="89">
        <v>296000000</v>
      </c>
      <c r="T549" s="268" t="s">
        <v>199</v>
      </c>
      <c r="U549" s="268" t="s">
        <v>199</v>
      </c>
      <c r="V549" s="271">
        <v>43266</v>
      </c>
      <c r="W549" s="268">
        <v>12</v>
      </c>
      <c r="X549" s="267" t="s">
        <v>200</v>
      </c>
      <c r="Y549" s="271">
        <v>43165</v>
      </c>
      <c r="Z549" s="269">
        <v>296000000</v>
      </c>
      <c r="AA549" s="268"/>
      <c r="AB549" s="293">
        <v>693</v>
      </c>
      <c r="AC549" s="283">
        <v>43165</v>
      </c>
      <c r="AD549" s="272">
        <v>296000000</v>
      </c>
      <c r="AE549" s="272">
        <f t="shared" si="64"/>
        <v>0</v>
      </c>
      <c r="AF549" s="293">
        <v>693</v>
      </c>
      <c r="AG549" s="293"/>
      <c r="AH549" s="294"/>
      <c r="AI549" s="89"/>
      <c r="AJ549" s="295"/>
      <c r="AK549" s="296"/>
      <c r="AL549" s="268"/>
      <c r="AM549" s="89"/>
      <c r="AN549" s="297"/>
      <c r="AO549" s="268" t="s">
        <v>65</v>
      </c>
      <c r="AP549" s="273">
        <f t="shared" si="63"/>
        <v>296000000</v>
      </c>
      <c r="AQ549" s="268"/>
      <c r="AR549" s="271"/>
      <c r="AS549" s="268"/>
      <c r="AT549" s="271"/>
      <c r="AU549" s="268"/>
    </row>
    <row r="550" spans="1:47" ht="76.5" x14ac:dyDescent="0.25">
      <c r="A550" s="267">
        <v>41</v>
      </c>
      <c r="B550" s="267" t="s">
        <v>201</v>
      </c>
      <c r="C550" s="284" t="s">
        <v>50</v>
      </c>
      <c r="D550" s="284" t="s">
        <v>51</v>
      </c>
      <c r="E550" s="284" t="s">
        <v>89</v>
      </c>
      <c r="F550" s="285" t="s">
        <v>186</v>
      </c>
      <c r="G550" s="285" t="s">
        <v>187</v>
      </c>
      <c r="H550" s="284" t="s">
        <v>188</v>
      </c>
      <c r="I550" s="268" t="s">
        <v>56</v>
      </c>
      <c r="J550" s="268" t="s">
        <v>57</v>
      </c>
      <c r="K550" s="268">
        <v>83101800</v>
      </c>
      <c r="L550" s="268" t="s">
        <v>58</v>
      </c>
      <c r="M550" s="268" t="s">
        <v>59</v>
      </c>
      <c r="N550" s="268" t="s">
        <v>60</v>
      </c>
      <c r="O550" s="268" t="s">
        <v>61</v>
      </c>
      <c r="P550" s="268" t="s">
        <v>202</v>
      </c>
      <c r="Q550" s="89">
        <v>5386750</v>
      </c>
      <c r="R550" s="270">
        <v>1</v>
      </c>
      <c r="S550" s="89">
        <v>64641000</v>
      </c>
      <c r="T550" s="268" t="s">
        <v>63</v>
      </c>
      <c r="U550" s="268" t="s">
        <v>63</v>
      </c>
      <c r="V550" s="271">
        <v>43102</v>
      </c>
      <c r="W550" s="268">
        <v>12</v>
      </c>
      <c r="X550" s="267" t="s">
        <v>203</v>
      </c>
      <c r="Y550" s="271">
        <v>43117</v>
      </c>
      <c r="Z550" s="269">
        <v>64641000</v>
      </c>
      <c r="AA550" s="268"/>
      <c r="AB550" s="293">
        <v>529</v>
      </c>
      <c r="AC550" s="6" t="s">
        <v>1418</v>
      </c>
      <c r="AD550" s="272">
        <v>64641000</v>
      </c>
      <c r="AE550" s="272">
        <f t="shared" si="64"/>
        <v>0</v>
      </c>
      <c r="AF550" s="293">
        <v>529</v>
      </c>
      <c r="AG550" s="293">
        <v>220</v>
      </c>
      <c r="AH550" s="294">
        <v>43118</v>
      </c>
      <c r="AI550" s="89">
        <v>255180</v>
      </c>
      <c r="AJ550" s="295" t="s">
        <v>1589</v>
      </c>
      <c r="AK550" s="296">
        <v>608364</v>
      </c>
      <c r="AL550" s="6"/>
      <c r="AM550" s="89">
        <v>255180</v>
      </c>
      <c r="AN550" s="295" t="s">
        <v>1792</v>
      </c>
      <c r="AO550" s="268" t="s">
        <v>65</v>
      </c>
      <c r="AP550" s="273">
        <f t="shared" si="63"/>
        <v>64385820</v>
      </c>
      <c r="AQ550" s="268"/>
      <c r="AR550" s="271"/>
      <c r="AS550" s="268"/>
      <c r="AT550" s="271"/>
      <c r="AU550" s="268"/>
    </row>
    <row r="551" spans="1:47" ht="76.5" x14ac:dyDescent="0.25">
      <c r="A551" s="267">
        <v>41</v>
      </c>
      <c r="B551" s="267" t="s">
        <v>201</v>
      </c>
      <c r="C551" s="284" t="s">
        <v>50</v>
      </c>
      <c r="D551" s="284" t="s">
        <v>51</v>
      </c>
      <c r="E551" s="284" t="s">
        <v>89</v>
      </c>
      <c r="F551" s="285" t="s">
        <v>186</v>
      </c>
      <c r="G551" s="285" t="s">
        <v>187</v>
      </c>
      <c r="H551" s="284" t="s">
        <v>188</v>
      </c>
      <c r="I551" s="268"/>
      <c r="J551" s="268"/>
      <c r="K551" s="268"/>
      <c r="L551" s="268"/>
      <c r="M551" s="268"/>
      <c r="N551" s="268"/>
      <c r="O551" s="268"/>
      <c r="P551" s="268"/>
      <c r="Q551" s="89"/>
      <c r="R551" s="270"/>
      <c r="S551" s="89"/>
      <c r="T551" s="268"/>
      <c r="U551" s="268"/>
      <c r="V551" s="271"/>
      <c r="W551" s="268"/>
      <c r="X551" s="267" t="s">
        <v>203</v>
      </c>
      <c r="Y551" s="271"/>
      <c r="Z551" s="269"/>
      <c r="AA551" s="268"/>
      <c r="AB551" s="293">
        <v>529</v>
      </c>
      <c r="AC551" s="6"/>
      <c r="AD551" s="272"/>
      <c r="AE551" s="272">
        <f t="shared" si="64"/>
        <v>0</v>
      </c>
      <c r="AF551" s="293">
        <v>529</v>
      </c>
      <c r="AG551" s="293">
        <v>316</v>
      </c>
      <c r="AH551" s="294">
        <v>43122</v>
      </c>
      <c r="AI551" s="89">
        <v>253880</v>
      </c>
      <c r="AJ551" s="295" t="s">
        <v>1833</v>
      </c>
      <c r="AK551" s="296">
        <v>303816</v>
      </c>
      <c r="AL551" s="6"/>
      <c r="AM551" s="89">
        <v>253880</v>
      </c>
      <c r="AN551" s="295" t="s">
        <v>1792</v>
      </c>
      <c r="AO551" s="268" t="s">
        <v>65</v>
      </c>
      <c r="AP551" s="273">
        <f t="shared" si="63"/>
        <v>-253880</v>
      </c>
      <c r="AQ551" s="268"/>
      <c r="AR551" s="271"/>
      <c r="AS551" s="268"/>
      <c r="AT551" s="271"/>
      <c r="AU551" s="268"/>
    </row>
    <row r="552" spans="1:47" ht="76.5" x14ac:dyDescent="0.25">
      <c r="A552" s="267">
        <v>41</v>
      </c>
      <c r="B552" s="267" t="s">
        <v>201</v>
      </c>
      <c r="C552" s="284" t="s">
        <v>50</v>
      </c>
      <c r="D552" s="284" t="s">
        <v>51</v>
      </c>
      <c r="E552" s="284" t="s">
        <v>89</v>
      </c>
      <c r="F552" s="285" t="s">
        <v>186</v>
      </c>
      <c r="G552" s="285" t="s">
        <v>187</v>
      </c>
      <c r="H552" s="284" t="s">
        <v>188</v>
      </c>
      <c r="I552" s="268"/>
      <c r="J552" s="268"/>
      <c r="K552" s="268"/>
      <c r="L552" s="268"/>
      <c r="M552" s="268"/>
      <c r="N552" s="268"/>
      <c r="O552" s="268"/>
      <c r="P552" s="268"/>
      <c r="Q552" s="89"/>
      <c r="R552" s="270"/>
      <c r="S552" s="89"/>
      <c r="T552" s="268"/>
      <c r="U552" s="268"/>
      <c r="V552" s="271"/>
      <c r="W552" s="268"/>
      <c r="X552" s="267" t="s">
        <v>203</v>
      </c>
      <c r="Y552" s="271"/>
      <c r="Z552" s="269"/>
      <c r="AA552" s="268"/>
      <c r="AB552" s="293">
        <v>529</v>
      </c>
      <c r="AC552" s="6"/>
      <c r="AD552" s="272"/>
      <c r="AE552" s="272">
        <f t="shared" si="64"/>
        <v>0</v>
      </c>
      <c r="AF552" s="293">
        <v>529</v>
      </c>
      <c r="AG552" s="293">
        <v>446</v>
      </c>
      <c r="AH552" s="294">
        <v>43125</v>
      </c>
      <c r="AI552" s="89">
        <v>28780</v>
      </c>
      <c r="AJ552" s="295" t="s">
        <v>1589</v>
      </c>
      <c r="AK552" s="296">
        <v>56370</v>
      </c>
      <c r="AL552" s="6"/>
      <c r="AM552" s="89">
        <v>28780</v>
      </c>
      <c r="AN552" s="295" t="s">
        <v>1792</v>
      </c>
      <c r="AO552" s="268" t="s">
        <v>65</v>
      </c>
      <c r="AP552" s="273">
        <f t="shared" si="63"/>
        <v>-28780</v>
      </c>
      <c r="AQ552" s="268"/>
      <c r="AR552" s="271"/>
      <c r="AS552" s="268"/>
      <c r="AT552" s="271"/>
      <c r="AU552" s="268"/>
    </row>
    <row r="553" spans="1:47" ht="76.5" x14ac:dyDescent="0.25">
      <c r="A553" s="267">
        <v>41</v>
      </c>
      <c r="B553" s="267" t="s">
        <v>201</v>
      </c>
      <c r="C553" s="284" t="s">
        <v>50</v>
      </c>
      <c r="D553" s="284" t="s">
        <v>51</v>
      </c>
      <c r="E553" s="284" t="s">
        <v>89</v>
      </c>
      <c r="F553" s="285" t="s">
        <v>186</v>
      </c>
      <c r="G553" s="285" t="s">
        <v>187</v>
      </c>
      <c r="H553" s="284" t="s">
        <v>188</v>
      </c>
      <c r="I553" s="268"/>
      <c r="J553" s="268"/>
      <c r="K553" s="268"/>
      <c r="L553" s="268"/>
      <c r="M553" s="268"/>
      <c r="N553" s="268"/>
      <c r="O553" s="268"/>
      <c r="P553" s="268"/>
      <c r="Q553" s="89"/>
      <c r="R553" s="270"/>
      <c r="S553" s="89"/>
      <c r="T553" s="268"/>
      <c r="U553" s="268"/>
      <c r="V553" s="271"/>
      <c r="W553" s="268"/>
      <c r="X553" s="267" t="s">
        <v>203</v>
      </c>
      <c r="Y553" s="271"/>
      <c r="Z553" s="269"/>
      <c r="AA553" s="268"/>
      <c r="AB553" s="293">
        <v>529</v>
      </c>
      <c r="AC553" s="6"/>
      <c r="AD553" s="272"/>
      <c r="AE553" s="272">
        <f t="shared" si="64"/>
        <v>0</v>
      </c>
      <c r="AF553" s="293">
        <v>529</v>
      </c>
      <c r="AG553" s="293">
        <v>447</v>
      </c>
      <c r="AH553" s="294">
        <v>43125</v>
      </c>
      <c r="AI553" s="89">
        <v>148030</v>
      </c>
      <c r="AJ553" s="295" t="s">
        <v>1833</v>
      </c>
      <c r="AK553" s="296">
        <v>25015</v>
      </c>
      <c r="AL553" s="6"/>
      <c r="AM553" s="89">
        <v>148030</v>
      </c>
      <c r="AN553" s="295" t="s">
        <v>1792</v>
      </c>
      <c r="AO553" s="268" t="s">
        <v>65</v>
      </c>
      <c r="AP553" s="273">
        <f t="shared" si="63"/>
        <v>-148030</v>
      </c>
      <c r="AQ553" s="268"/>
      <c r="AR553" s="271"/>
      <c r="AS553" s="268"/>
      <c r="AT553" s="271"/>
      <c r="AU553" s="268"/>
    </row>
    <row r="554" spans="1:47" ht="76.5" x14ac:dyDescent="0.25">
      <c r="A554" s="267">
        <v>41</v>
      </c>
      <c r="B554" s="267" t="s">
        <v>201</v>
      </c>
      <c r="C554" s="284" t="s">
        <v>50</v>
      </c>
      <c r="D554" s="284" t="s">
        <v>51</v>
      </c>
      <c r="E554" s="284" t="s">
        <v>89</v>
      </c>
      <c r="F554" s="285" t="s">
        <v>186</v>
      </c>
      <c r="G554" s="285" t="s">
        <v>187</v>
      </c>
      <c r="H554" s="284" t="s">
        <v>188</v>
      </c>
      <c r="I554" s="268"/>
      <c r="J554" s="268"/>
      <c r="K554" s="268"/>
      <c r="L554" s="268"/>
      <c r="M554" s="268"/>
      <c r="N554" s="268"/>
      <c r="O554" s="268"/>
      <c r="P554" s="268"/>
      <c r="Q554" s="89"/>
      <c r="R554" s="270"/>
      <c r="S554" s="89"/>
      <c r="T554" s="268"/>
      <c r="U554" s="268"/>
      <c r="V554" s="271"/>
      <c r="W554" s="268"/>
      <c r="X554" s="267" t="s">
        <v>203</v>
      </c>
      <c r="Y554" s="271"/>
      <c r="Z554" s="269"/>
      <c r="AA554" s="268"/>
      <c r="AB554" s="293">
        <v>529</v>
      </c>
      <c r="AC554" s="6"/>
      <c r="AD554" s="272"/>
      <c r="AE554" s="272">
        <f t="shared" si="64"/>
        <v>0</v>
      </c>
      <c r="AF554" s="293">
        <v>529</v>
      </c>
      <c r="AG554" s="293">
        <v>448</v>
      </c>
      <c r="AH554" s="294">
        <v>43125</v>
      </c>
      <c r="AI554" s="89">
        <v>63330</v>
      </c>
      <c r="AJ554" s="295" t="s">
        <v>1833</v>
      </c>
      <c r="AK554" s="296">
        <v>30012</v>
      </c>
      <c r="AL554" s="6"/>
      <c r="AM554" s="89">
        <v>63330</v>
      </c>
      <c r="AN554" s="295" t="s">
        <v>1792</v>
      </c>
      <c r="AO554" s="268" t="s">
        <v>65</v>
      </c>
      <c r="AP554" s="273">
        <f t="shared" si="63"/>
        <v>-63330</v>
      </c>
      <c r="AQ554" s="268"/>
      <c r="AR554" s="271"/>
      <c r="AS554" s="268"/>
      <c r="AT554" s="271"/>
      <c r="AU554" s="268"/>
    </row>
    <row r="555" spans="1:47" ht="76.5" x14ac:dyDescent="0.25">
      <c r="A555" s="267">
        <v>41</v>
      </c>
      <c r="B555" s="267" t="s">
        <v>201</v>
      </c>
      <c r="C555" s="284" t="s">
        <v>50</v>
      </c>
      <c r="D555" s="284" t="s">
        <v>51</v>
      </c>
      <c r="E555" s="284" t="s">
        <v>89</v>
      </c>
      <c r="F555" s="285" t="s">
        <v>186</v>
      </c>
      <c r="G555" s="285" t="s">
        <v>187</v>
      </c>
      <c r="H555" s="284" t="s">
        <v>188</v>
      </c>
      <c r="I555" s="268"/>
      <c r="J555" s="268"/>
      <c r="K555" s="268"/>
      <c r="L555" s="268"/>
      <c r="M555" s="268"/>
      <c r="N555" s="268"/>
      <c r="O555" s="268"/>
      <c r="P555" s="268"/>
      <c r="Q555" s="89"/>
      <c r="R555" s="270"/>
      <c r="S555" s="89"/>
      <c r="T555" s="268"/>
      <c r="U555" s="268"/>
      <c r="V555" s="271"/>
      <c r="W555" s="268"/>
      <c r="X555" s="267" t="s">
        <v>203</v>
      </c>
      <c r="Y555" s="271"/>
      <c r="Z555" s="269"/>
      <c r="AA555" s="268"/>
      <c r="AB555" s="293">
        <v>529</v>
      </c>
      <c r="AC555" s="6"/>
      <c r="AD555" s="272"/>
      <c r="AE555" s="272">
        <f t="shared" si="64"/>
        <v>0</v>
      </c>
      <c r="AF555" s="293">
        <v>529</v>
      </c>
      <c r="AG555" s="293">
        <v>514</v>
      </c>
      <c r="AH555" s="294">
        <v>43130</v>
      </c>
      <c r="AI555" s="89">
        <v>115640</v>
      </c>
      <c r="AJ555" s="295" t="s">
        <v>1589</v>
      </c>
      <c r="AK555" s="296">
        <v>149404</v>
      </c>
      <c r="AL555" s="6"/>
      <c r="AM555" s="89">
        <v>115640</v>
      </c>
      <c r="AN555" s="295" t="s">
        <v>1792</v>
      </c>
      <c r="AO555" s="268" t="s">
        <v>65</v>
      </c>
      <c r="AP555" s="273">
        <f t="shared" si="63"/>
        <v>-115640</v>
      </c>
      <c r="AQ555" s="268"/>
      <c r="AR555" s="271"/>
      <c r="AS555" s="268"/>
      <c r="AT555" s="271"/>
      <c r="AU555" s="268"/>
    </row>
    <row r="556" spans="1:47" ht="76.5" x14ac:dyDescent="0.25">
      <c r="A556" s="267">
        <v>41</v>
      </c>
      <c r="B556" s="267" t="s">
        <v>201</v>
      </c>
      <c r="C556" s="284" t="s">
        <v>50</v>
      </c>
      <c r="D556" s="284" t="s">
        <v>51</v>
      </c>
      <c r="E556" s="284" t="s">
        <v>89</v>
      </c>
      <c r="F556" s="285" t="s">
        <v>186</v>
      </c>
      <c r="G556" s="285" t="s">
        <v>187</v>
      </c>
      <c r="H556" s="284" t="s">
        <v>188</v>
      </c>
      <c r="I556" s="268"/>
      <c r="J556" s="268"/>
      <c r="K556" s="268"/>
      <c r="L556" s="268"/>
      <c r="M556" s="268"/>
      <c r="N556" s="268"/>
      <c r="O556" s="268"/>
      <c r="P556" s="268"/>
      <c r="Q556" s="89"/>
      <c r="R556" s="270"/>
      <c r="S556" s="89"/>
      <c r="T556" s="268"/>
      <c r="U556" s="268"/>
      <c r="V556" s="271"/>
      <c r="W556" s="268"/>
      <c r="X556" s="267" t="s">
        <v>203</v>
      </c>
      <c r="Y556" s="271"/>
      <c r="Z556" s="269"/>
      <c r="AA556" s="268"/>
      <c r="AB556" s="293">
        <v>529</v>
      </c>
      <c r="AC556" s="6"/>
      <c r="AD556" s="272"/>
      <c r="AE556" s="272">
        <f t="shared" si="64"/>
        <v>0</v>
      </c>
      <c r="AF556" s="293">
        <v>529</v>
      </c>
      <c r="AG556" s="293">
        <v>753</v>
      </c>
      <c r="AH556" s="294">
        <v>43137</v>
      </c>
      <c r="AI556" s="89">
        <v>12390</v>
      </c>
      <c r="AJ556" s="295" t="s">
        <v>1833</v>
      </c>
      <c r="AK556" s="296">
        <v>58315</v>
      </c>
      <c r="AL556" s="6"/>
      <c r="AM556" s="89">
        <v>12390</v>
      </c>
      <c r="AN556" s="295" t="s">
        <v>1792</v>
      </c>
      <c r="AO556" s="268" t="s">
        <v>65</v>
      </c>
      <c r="AP556" s="273">
        <f t="shared" si="63"/>
        <v>-12390</v>
      </c>
      <c r="AQ556" s="268"/>
      <c r="AR556" s="271"/>
      <c r="AS556" s="268"/>
      <c r="AT556" s="271"/>
      <c r="AU556" s="268"/>
    </row>
    <row r="557" spans="1:47" ht="76.5" x14ac:dyDescent="0.25">
      <c r="A557" s="267">
        <v>41</v>
      </c>
      <c r="B557" s="267" t="s">
        <v>201</v>
      </c>
      <c r="C557" s="284" t="s">
        <v>50</v>
      </c>
      <c r="D557" s="284" t="s">
        <v>51</v>
      </c>
      <c r="E557" s="284" t="s">
        <v>89</v>
      </c>
      <c r="F557" s="285" t="s">
        <v>186</v>
      </c>
      <c r="G557" s="285" t="s">
        <v>187</v>
      </c>
      <c r="H557" s="284" t="s">
        <v>188</v>
      </c>
      <c r="I557" s="268"/>
      <c r="J557" s="268"/>
      <c r="K557" s="268"/>
      <c r="L557" s="268"/>
      <c r="M557" s="268"/>
      <c r="N557" s="268"/>
      <c r="O557" s="268"/>
      <c r="P557" s="268"/>
      <c r="Q557" s="89"/>
      <c r="R557" s="270"/>
      <c r="S557" s="89"/>
      <c r="T557" s="268"/>
      <c r="U557" s="268"/>
      <c r="V557" s="271"/>
      <c r="W557" s="268"/>
      <c r="X557" s="267" t="s">
        <v>203</v>
      </c>
      <c r="Y557" s="271"/>
      <c r="Z557" s="269"/>
      <c r="AA557" s="268"/>
      <c r="AB557" s="293">
        <v>529</v>
      </c>
      <c r="AC557" s="6"/>
      <c r="AD557" s="272"/>
      <c r="AE557" s="272">
        <f t="shared" si="64"/>
        <v>0</v>
      </c>
      <c r="AF557" s="293">
        <v>529</v>
      </c>
      <c r="AG557" s="293">
        <v>754</v>
      </c>
      <c r="AH557" s="294">
        <v>43137</v>
      </c>
      <c r="AI557" s="89">
        <v>6200</v>
      </c>
      <c r="AJ557" s="295" t="s">
        <v>1833</v>
      </c>
      <c r="AK557" s="296">
        <v>1315</v>
      </c>
      <c r="AL557" s="6"/>
      <c r="AM557" s="89">
        <v>6200</v>
      </c>
      <c r="AN557" s="295" t="s">
        <v>1792</v>
      </c>
      <c r="AO557" s="268" t="s">
        <v>65</v>
      </c>
      <c r="AP557" s="273">
        <f t="shared" si="63"/>
        <v>-6200</v>
      </c>
      <c r="AQ557" s="268"/>
      <c r="AR557" s="271"/>
      <c r="AS557" s="268"/>
      <c r="AT557" s="271"/>
      <c r="AU557" s="268"/>
    </row>
    <row r="558" spans="1:47" ht="76.5" x14ac:dyDescent="0.25">
      <c r="A558" s="267">
        <v>41</v>
      </c>
      <c r="B558" s="267" t="s">
        <v>201</v>
      </c>
      <c r="C558" s="284" t="s">
        <v>50</v>
      </c>
      <c r="D558" s="284" t="s">
        <v>51</v>
      </c>
      <c r="E558" s="284" t="s">
        <v>89</v>
      </c>
      <c r="F558" s="285" t="s">
        <v>186</v>
      </c>
      <c r="G558" s="285" t="s">
        <v>187</v>
      </c>
      <c r="H558" s="284" t="s">
        <v>188</v>
      </c>
      <c r="I558" s="268"/>
      <c r="J558" s="268"/>
      <c r="K558" s="268"/>
      <c r="L558" s="268"/>
      <c r="M558" s="268"/>
      <c r="N558" s="268"/>
      <c r="O558" s="268"/>
      <c r="P558" s="268"/>
      <c r="Q558" s="89"/>
      <c r="R558" s="270"/>
      <c r="S558" s="89"/>
      <c r="T558" s="268"/>
      <c r="U558" s="268"/>
      <c r="V558" s="271"/>
      <c r="W558" s="268"/>
      <c r="X558" s="267" t="s">
        <v>203</v>
      </c>
      <c r="Y558" s="271"/>
      <c r="Z558" s="269"/>
      <c r="AA558" s="268"/>
      <c r="AB558" s="293">
        <v>529</v>
      </c>
      <c r="AC558" s="6"/>
      <c r="AD558" s="272"/>
      <c r="AE558" s="272">
        <f t="shared" si="64"/>
        <v>0</v>
      </c>
      <c r="AF558" s="293">
        <v>529</v>
      </c>
      <c r="AG558" s="293">
        <v>1362</v>
      </c>
      <c r="AH558" s="294">
        <v>43147</v>
      </c>
      <c r="AI558" s="89">
        <v>300200</v>
      </c>
      <c r="AJ558" s="295" t="s">
        <v>1589</v>
      </c>
      <c r="AK558" s="296">
        <v>969702</v>
      </c>
      <c r="AL558" s="6"/>
      <c r="AM558" s="89">
        <v>300200</v>
      </c>
      <c r="AN558" s="295" t="s">
        <v>1792</v>
      </c>
      <c r="AO558" s="268" t="s">
        <v>65</v>
      </c>
      <c r="AP558" s="273">
        <f t="shared" si="63"/>
        <v>-300200</v>
      </c>
      <c r="AQ558" s="268"/>
      <c r="AR558" s="271"/>
      <c r="AS558" s="268"/>
      <c r="AT558" s="271"/>
      <c r="AU558" s="268"/>
    </row>
    <row r="559" spans="1:47" ht="76.5" x14ac:dyDescent="0.25">
      <c r="A559" s="267">
        <v>41</v>
      </c>
      <c r="B559" s="267" t="s">
        <v>201</v>
      </c>
      <c r="C559" s="284" t="s">
        <v>50</v>
      </c>
      <c r="D559" s="284" t="s">
        <v>51</v>
      </c>
      <c r="E559" s="284" t="s">
        <v>89</v>
      </c>
      <c r="F559" s="285" t="s">
        <v>186</v>
      </c>
      <c r="G559" s="285" t="s">
        <v>187</v>
      </c>
      <c r="H559" s="284" t="s">
        <v>188</v>
      </c>
      <c r="I559" s="268"/>
      <c r="J559" s="268"/>
      <c r="K559" s="268"/>
      <c r="L559" s="268"/>
      <c r="M559" s="268"/>
      <c r="N559" s="268"/>
      <c r="O559" s="268"/>
      <c r="P559" s="268"/>
      <c r="Q559" s="89"/>
      <c r="R559" s="270"/>
      <c r="S559" s="89"/>
      <c r="T559" s="268"/>
      <c r="U559" s="268"/>
      <c r="V559" s="271"/>
      <c r="W559" s="268"/>
      <c r="X559" s="267" t="s">
        <v>203</v>
      </c>
      <c r="Y559" s="271"/>
      <c r="Z559" s="269"/>
      <c r="AA559" s="268"/>
      <c r="AB559" s="293">
        <v>529</v>
      </c>
      <c r="AC559" s="6"/>
      <c r="AD559" s="272"/>
      <c r="AE559" s="272">
        <f t="shared" si="64"/>
        <v>0</v>
      </c>
      <c r="AF559" s="293">
        <v>529</v>
      </c>
      <c r="AG559" s="293">
        <v>1459</v>
      </c>
      <c r="AH559" s="294">
        <v>43154</v>
      </c>
      <c r="AI559" s="89">
        <v>123440</v>
      </c>
      <c r="AJ559" s="295" t="s">
        <v>1589</v>
      </c>
      <c r="AK559" s="296">
        <v>911907</v>
      </c>
      <c r="AL559" s="6"/>
      <c r="AM559" s="89">
        <v>123440</v>
      </c>
      <c r="AN559" s="295" t="s">
        <v>1792</v>
      </c>
      <c r="AO559" s="268" t="s">
        <v>65</v>
      </c>
      <c r="AP559" s="273">
        <f t="shared" si="63"/>
        <v>-123440</v>
      </c>
      <c r="AQ559" s="268"/>
      <c r="AR559" s="271"/>
      <c r="AS559" s="268"/>
      <c r="AT559" s="271"/>
      <c r="AU559" s="268"/>
    </row>
    <row r="560" spans="1:47" ht="76.5" x14ac:dyDescent="0.25">
      <c r="A560" s="267">
        <v>41</v>
      </c>
      <c r="B560" s="267" t="s">
        <v>201</v>
      </c>
      <c r="C560" s="284" t="s">
        <v>50</v>
      </c>
      <c r="D560" s="284" t="s">
        <v>51</v>
      </c>
      <c r="E560" s="284" t="s">
        <v>89</v>
      </c>
      <c r="F560" s="285" t="s">
        <v>186</v>
      </c>
      <c r="G560" s="285" t="s">
        <v>187</v>
      </c>
      <c r="H560" s="284" t="s">
        <v>188</v>
      </c>
      <c r="I560" s="268"/>
      <c r="J560" s="268"/>
      <c r="K560" s="268"/>
      <c r="L560" s="268"/>
      <c r="M560" s="268"/>
      <c r="N560" s="268"/>
      <c r="O560" s="268"/>
      <c r="P560" s="268"/>
      <c r="Q560" s="89"/>
      <c r="R560" s="270"/>
      <c r="S560" s="89"/>
      <c r="T560" s="268"/>
      <c r="U560" s="268"/>
      <c r="V560" s="271"/>
      <c r="W560" s="268"/>
      <c r="X560" s="267" t="s">
        <v>203</v>
      </c>
      <c r="Y560" s="271"/>
      <c r="Z560" s="269"/>
      <c r="AA560" s="268"/>
      <c r="AB560" s="293">
        <v>529</v>
      </c>
      <c r="AC560" s="6"/>
      <c r="AD560" s="272"/>
      <c r="AE560" s="272">
        <f t="shared" si="64"/>
        <v>0</v>
      </c>
      <c r="AF560" s="293">
        <v>529</v>
      </c>
      <c r="AG560" s="293">
        <v>1460</v>
      </c>
      <c r="AH560" s="294">
        <v>43154</v>
      </c>
      <c r="AI560" s="89">
        <v>22540</v>
      </c>
      <c r="AJ560" s="295" t="s">
        <v>1589</v>
      </c>
      <c r="AK560" s="296">
        <v>164835</v>
      </c>
      <c r="AL560" s="6"/>
      <c r="AM560" s="89">
        <v>22540</v>
      </c>
      <c r="AN560" s="295" t="s">
        <v>1792</v>
      </c>
      <c r="AO560" s="268" t="s">
        <v>65</v>
      </c>
      <c r="AP560" s="273">
        <f t="shared" si="63"/>
        <v>-22540</v>
      </c>
      <c r="AQ560" s="268"/>
      <c r="AR560" s="271"/>
      <c r="AS560" s="268"/>
      <c r="AT560" s="271"/>
      <c r="AU560" s="268"/>
    </row>
    <row r="561" spans="1:47" ht="76.5" x14ac:dyDescent="0.25">
      <c r="A561" s="267">
        <v>41</v>
      </c>
      <c r="B561" s="267" t="s">
        <v>201</v>
      </c>
      <c r="C561" s="284" t="s">
        <v>50</v>
      </c>
      <c r="D561" s="284" t="s">
        <v>51</v>
      </c>
      <c r="E561" s="284" t="s">
        <v>89</v>
      </c>
      <c r="F561" s="285" t="s">
        <v>186</v>
      </c>
      <c r="G561" s="285" t="s">
        <v>187</v>
      </c>
      <c r="H561" s="284" t="s">
        <v>188</v>
      </c>
      <c r="I561" s="268"/>
      <c r="J561" s="268"/>
      <c r="K561" s="268"/>
      <c r="L561" s="268"/>
      <c r="M561" s="268"/>
      <c r="N561" s="268"/>
      <c r="O561" s="268"/>
      <c r="P561" s="268"/>
      <c r="Q561" s="89"/>
      <c r="R561" s="270"/>
      <c r="S561" s="89"/>
      <c r="T561" s="268"/>
      <c r="U561" s="268"/>
      <c r="V561" s="271"/>
      <c r="W561" s="268"/>
      <c r="X561" s="267" t="s">
        <v>203</v>
      </c>
      <c r="Y561" s="271"/>
      <c r="Z561" s="269"/>
      <c r="AA561" s="268"/>
      <c r="AB561" s="293">
        <v>529</v>
      </c>
      <c r="AC561" s="6"/>
      <c r="AD561" s="272"/>
      <c r="AE561" s="272">
        <f t="shared" si="64"/>
        <v>0</v>
      </c>
      <c r="AF561" s="293">
        <v>529</v>
      </c>
      <c r="AG561" s="293">
        <v>1588</v>
      </c>
      <c r="AH561" s="294">
        <v>43174</v>
      </c>
      <c r="AI561" s="89">
        <v>217148</v>
      </c>
      <c r="AJ561" s="295" t="s">
        <v>1833</v>
      </c>
      <c r="AK561" s="296">
        <v>49013</v>
      </c>
      <c r="AL561" s="6"/>
      <c r="AM561" s="89">
        <v>217148</v>
      </c>
      <c r="AN561" s="295" t="s">
        <v>1792</v>
      </c>
      <c r="AO561" s="268" t="s">
        <v>65</v>
      </c>
      <c r="AP561" s="273">
        <f t="shared" ref="AP561:AP595" si="65">S561-AI561</f>
        <v>-217148</v>
      </c>
      <c r="AQ561" s="268"/>
      <c r="AR561" s="271"/>
      <c r="AS561" s="268"/>
      <c r="AT561" s="271"/>
      <c r="AU561" s="268"/>
    </row>
    <row r="562" spans="1:47" ht="76.5" x14ac:dyDescent="0.25">
      <c r="A562" s="267">
        <v>41</v>
      </c>
      <c r="B562" s="267" t="s">
        <v>201</v>
      </c>
      <c r="C562" s="284" t="s">
        <v>50</v>
      </c>
      <c r="D562" s="284" t="s">
        <v>51</v>
      </c>
      <c r="E562" s="284" t="s">
        <v>89</v>
      </c>
      <c r="F562" s="285" t="s">
        <v>186</v>
      </c>
      <c r="G562" s="285" t="s">
        <v>187</v>
      </c>
      <c r="H562" s="284" t="s">
        <v>188</v>
      </c>
      <c r="I562" s="268"/>
      <c r="J562" s="268"/>
      <c r="K562" s="268"/>
      <c r="L562" s="268"/>
      <c r="M562" s="268"/>
      <c r="N562" s="268"/>
      <c r="O562" s="268"/>
      <c r="P562" s="268"/>
      <c r="Q562" s="89"/>
      <c r="R562" s="270"/>
      <c r="S562" s="89"/>
      <c r="T562" s="268"/>
      <c r="U562" s="268"/>
      <c r="V562" s="271"/>
      <c r="W562" s="268"/>
      <c r="X562" s="267" t="s">
        <v>203</v>
      </c>
      <c r="Y562" s="271"/>
      <c r="Z562" s="269"/>
      <c r="AA562" s="268"/>
      <c r="AB562" s="293">
        <v>529</v>
      </c>
      <c r="AC562" s="6"/>
      <c r="AD562" s="272"/>
      <c r="AE562" s="272">
        <f t="shared" si="64"/>
        <v>0</v>
      </c>
      <c r="AF562" s="293">
        <v>529</v>
      </c>
      <c r="AG562" s="293">
        <v>1590</v>
      </c>
      <c r="AH562" s="294">
        <v>43175</v>
      </c>
      <c r="AI562" s="89">
        <v>317770</v>
      </c>
      <c r="AJ562" s="295" t="s">
        <v>1589</v>
      </c>
      <c r="AK562" s="296">
        <v>681805</v>
      </c>
      <c r="AL562" s="6"/>
      <c r="AM562" s="89">
        <v>317770</v>
      </c>
      <c r="AN562" s="295" t="s">
        <v>1792</v>
      </c>
      <c r="AO562" s="268" t="s">
        <v>65</v>
      </c>
      <c r="AP562" s="273">
        <f t="shared" si="65"/>
        <v>-317770</v>
      </c>
      <c r="AQ562" s="268"/>
      <c r="AR562" s="271"/>
      <c r="AS562" s="268"/>
      <c r="AT562" s="271"/>
      <c r="AU562" s="268"/>
    </row>
    <row r="563" spans="1:47" ht="76.5" x14ac:dyDescent="0.25">
      <c r="A563" s="267">
        <v>41</v>
      </c>
      <c r="B563" s="267" t="s">
        <v>201</v>
      </c>
      <c r="C563" s="284" t="s">
        <v>50</v>
      </c>
      <c r="D563" s="284" t="s">
        <v>51</v>
      </c>
      <c r="E563" s="284" t="s">
        <v>89</v>
      </c>
      <c r="F563" s="285" t="s">
        <v>186</v>
      </c>
      <c r="G563" s="285" t="s">
        <v>187</v>
      </c>
      <c r="H563" s="284" t="s">
        <v>188</v>
      </c>
      <c r="I563" s="268"/>
      <c r="J563" s="268"/>
      <c r="K563" s="268"/>
      <c r="L563" s="268"/>
      <c r="M563" s="268"/>
      <c r="N563" s="268"/>
      <c r="O563" s="268"/>
      <c r="P563" s="268"/>
      <c r="Q563" s="89"/>
      <c r="R563" s="270"/>
      <c r="S563" s="89"/>
      <c r="T563" s="268"/>
      <c r="U563" s="268"/>
      <c r="V563" s="271"/>
      <c r="W563" s="268"/>
      <c r="X563" s="267" t="s">
        <v>203</v>
      </c>
      <c r="Y563" s="271"/>
      <c r="Z563" s="269"/>
      <c r="AA563" s="268"/>
      <c r="AB563" s="293">
        <v>529</v>
      </c>
      <c r="AC563" s="6"/>
      <c r="AD563" s="272"/>
      <c r="AE563" s="272">
        <f t="shared" si="64"/>
        <v>0</v>
      </c>
      <c r="AF563" s="293">
        <v>529</v>
      </c>
      <c r="AG563" s="293">
        <v>1614</v>
      </c>
      <c r="AH563" s="294">
        <v>43181</v>
      </c>
      <c r="AI563" s="89">
        <v>24570</v>
      </c>
      <c r="AJ563" s="295" t="s">
        <v>1589</v>
      </c>
      <c r="AK563" s="296">
        <v>595915</v>
      </c>
      <c r="AL563" s="6"/>
      <c r="AM563" s="89">
        <v>24570</v>
      </c>
      <c r="AN563" s="295" t="s">
        <v>1792</v>
      </c>
      <c r="AO563" s="268" t="s">
        <v>65</v>
      </c>
      <c r="AP563" s="273">
        <f t="shared" si="65"/>
        <v>-24570</v>
      </c>
      <c r="AQ563" s="268"/>
      <c r="AR563" s="271"/>
      <c r="AS563" s="268"/>
      <c r="AT563" s="271"/>
      <c r="AU563" s="268"/>
    </row>
    <row r="564" spans="1:47" ht="76.5" x14ac:dyDescent="0.25">
      <c r="A564" s="267">
        <v>41</v>
      </c>
      <c r="B564" s="267" t="s">
        <v>201</v>
      </c>
      <c r="C564" s="284" t="s">
        <v>50</v>
      </c>
      <c r="D564" s="284" t="s">
        <v>51</v>
      </c>
      <c r="E564" s="284" t="s">
        <v>89</v>
      </c>
      <c r="F564" s="285" t="s">
        <v>186</v>
      </c>
      <c r="G564" s="285" t="s">
        <v>187</v>
      </c>
      <c r="H564" s="284" t="s">
        <v>188</v>
      </c>
      <c r="I564" s="268"/>
      <c r="J564" s="268"/>
      <c r="K564" s="268"/>
      <c r="L564" s="268"/>
      <c r="M564" s="268"/>
      <c r="N564" s="268"/>
      <c r="O564" s="268"/>
      <c r="P564" s="268"/>
      <c r="Q564" s="89"/>
      <c r="R564" s="270"/>
      <c r="S564" s="89"/>
      <c r="T564" s="268"/>
      <c r="U564" s="268"/>
      <c r="V564" s="271"/>
      <c r="W564" s="268"/>
      <c r="X564" s="267" t="s">
        <v>203</v>
      </c>
      <c r="Y564" s="271"/>
      <c r="Z564" s="269"/>
      <c r="AA564" s="268"/>
      <c r="AB564" s="293">
        <v>529</v>
      </c>
      <c r="AC564" s="6"/>
      <c r="AD564" s="272"/>
      <c r="AE564" s="272">
        <f t="shared" si="64"/>
        <v>0</v>
      </c>
      <c r="AF564" s="293">
        <v>529</v>
      </c>
      <c r="AG564" s="293">
        <v>1616</v>
      </c>
      <c r="AH564" s="294">
        <v>43181</v>
      </c>
      <c r="AI564" s="89">
        <v>61453</v>
      </c>
      <c r="AJ564" s="295" t="s">
        <v>1833</v>
      </c>
      <c r="AK564" s="296">
        <v>444713</v>
      </c>
      <c r="AL564" s="268"/>
      <c r="AM564" s="89">
        <v>61453</v>
      </c>
      <c r="AN564" s="295" t="s">
        <v>1792</v>
      </c>
      <c r="AO564" s="268" t="s">
        <v>65</v>
      </c>
      <c r="AP564" s="273">
        <f t="shared" si="65"/>
        <v>-61453</v>
      </c>
      <c r="AQ564" s="268"/>
      <c r="AR564" s="271"/>
      <c r="AS564" s="268"/>
      <c r="AT564" s="271"/>
      <c r="AU564" s="268"/>
    </row>
    <row r="565" spans="1:47" ht="76.5" x14ac:dyDescent="0.25">
      <c r="A565" s="267">
        <v>41</v>
      </c>
      <c r="B565" s="267" t="s">
        <v>201</v>
      </c>
      <c r="C565" s="284" t="s">
        <v>50</v>
      </c>
      <c r="D565" s="284" t="s">
        <v>51</v>
      </c>
      <c r="E565" s="284" t="s">
        <v>89</v>
      </c>
      <c r="F565" s="285" t="s">
        <v>186</v>
      </c>
      <c r="G565" s="285" t="s">
        <v>187</v>
      </c>
      <c r="H565" s="284" t="s">
        <v>188</v>
      </c>
      <c r="I565" s="268"/>
      <c r="J565" s="268"/>
      <c r="K565" s="268"/>
      <c r="L565" s="268"/>
      <c r="M565" s="268"/>
      <c r="N565" s="268"/>
      <c r="O565" s="268"/>
      <c r="P565" s="268"/>
      <c r="Q565" s="89"/>
      <c r="R565" s="270"/>
      <c r="S565" s="89"/>
      <c r="T565" s="268"/>
      <c r="U565" s="268"/>
      <c r="V565" s="271"/>
      <c r="W565" s="268"/>
      <c r="X565" s="267" t="s">
        <v>203</v>
      </c>
      <c r="Y565" s="271"/>
      <c r="Z565" s="269"/>
      <c r="AA565" s="268"/>
      <c r="AB565" s="293">
        <v>529</v>
      </c>
      <c r="AC565" s="6"/>
      <c r="AD565" s="272"/>
      <c r="AE565" s="272">
        <f t="shared" si="64"/>
        <v>0</v>
      </c>
      <c r="AF565" s="293">
        <v>529</v>
      </c>
      <c r="AG565" s="293">
        <v>1617</v>
      </c>
      <c r="AH565" s="294">
        <v>43181</v>
      </c>
      <c r="AI565" s="89">
        <v>140590</v>
      </c>
      <c r="AJ565" s="295" t="s">
        <v>1589</v>
      </c>
      <c r="AK565" s="296">
        <v>713430</v>
      </c>
      <c r="AL565" s="6"/>
      <c r="AM565" s="89">
        <v>140590</v>
      </c>
      <c r="AN565" s="295" t="s">
        <v>1792</v>
      </c>
      <c r="AO565" s="268" t="s">
        <v>65</v>
      </c>
      <c r="AP565" s="273">
        <f t="shared" si="65"/>
        <v>-140590</v>
      </c>
      <c r="AQ565" s="268"/>
      <c r="AR565" s="271"/>
      <c r="AS565" s="268"/>
      <c r="AT565" s="271"/>
      <c r="AU565" s="268"/>
    </row>
    <row r="566" spans="1:47" ht="76.5" x14ac:dyDescent="0.25">
      <c r="A566" s="267">
        <v>41</v>
      </c>
      <c r="B566" s="267" t="s">
        <v>201</v>
      </c>
      <c r="C566" s="284" t="s">
        <v>50</v>
      </c>
      <c r="D566" s="284" t="s">
        <v>51</v>
      </c>
      <c r="E566" s="284" t="s">
        <v>89</v>
      </c>
      <c r="F566" s="285" t="s">
        <v>186</v>
      </c>
      <c r="G566" s="285" t="s">
        <v>187</v>
      </c>
      <c r="H566" s="284" t="s">
        <v>188</v>
      </c>
      <c r="I566" s="268"/>
      <c r="J566" s="268"/>
      <c r="K566" s="268"/>
      <c r="L566" s="268"/>
      <c r="M566" s="268"/>
      <c r="N566" s="268"/>
      <c r="O566" s="268"/>
      <c r="P566" s="268"/>
      <c r="Q566" s="89"/>
      <c r="R566" s="270"/>
      <c r="S566" s="89"/>
      <c r="T566" s="268"/>
      <c r="U566" s="268"/>
      <c r="V566" s="271"/>
      <c r="W566" s="268"/>
      <c r="X566" s="267" t="s">
        <v>203</v>
      </c>
      <c r="Y566" s="271"/>
      <c r="Z566" s="269"/>
      <c r="AA566" s="268"/>
      <c r="AB566" s="293">
        <v>529</v>
      </c>
      <c r="AC566" s="6"/>
      <c r="AD566" s="272"/>
      <c r="AE566" s="272">
        <f t="shared" si="64"/>
        <v>0</v>
      </c>
      <c r="AF566" s="293">
        <v>529</v>
      </c>
      <c r="AG566" s="293">
        <v>1618</v>
      </c>
      <c r="AH566" s="294">
        <v>43181</v>
      </c>
      <c r="AI566" s="89">
        <v>133258</v>
      </c>
      <c r="AJ566" s="295" t="s">
        <v>1833</v>
      </c>
      <c r="AK566" s="296">
        <v>5319811</v>
      </c>
      <c r="AL566" s="268"/>
      <c r="AM566" s="89">
        <v>133258</v>
      </c>
      <c r="AN566" s="295" t="s">
        <v>1792</v>
      </c>
      <c r="AO566" s="268" t="s">
        <v>65</v>
      </c>
      <c r="AP566" s="273">
        <f t="shared" si="65"/>
        <v>-133258</v>
      </c>
      <c r="AQ566" s="268"/>
      <c r="AR566" s="271"/>
      <c r="AS566" s="268"/>
      <c r="AT566" s="271"/>
      <c r="AU566" s="268"/>
    </row>
    <row r="567" spans="1:47" ht="76.5" x14ac:dyDescent="0.25">
      <c r="A567" s="267">
        <v>41</v>
      </c>
      <c r="B567" s="267" t="s">
        <v>204</v>
      </c>
      <c r="C567" s="284" t="s">
        <v>50</v>
      </c>
      <c r="D567" s="284" t="s">
        <v>51</v>
      </c>
      <c r="E567" s="284" t="s">
        <v>89</v>
      </c>
      <c r="F567" s="285" t="s">
        <v>186</v>
      </c>
      <c r="G567" s="285" t="s">
        <v>187</v>
      </c>
      <c r="H567" s="284" t="s">
        <v>188</v>
      </c>
      <c r="I567" s="268"/>
      <c r="J567" s="268"/>
      <c r="K567" s="268"/>
      <c r="L567" s="268"/>
      <c r="M567" s="268"/>
      <c r="N567" s="268"/>
      <c r="O567" s="268"/>
      <c r="P567" s="268"/>
      <c r="Q567" s="89"/>
      <c r="R567" s="270"/>
      <c r="S567" s="89"/>
      <c r="T567" s="268"/>
      <c r="U567" s="268"/>
      <c r="V567" s="271"/>
      <c r="W567" s="268"/>
      <c r="X567" s="267" t="s">
        <v>203</v>
      </c>
      <c r="Y567" s="271"/>
      <c r="Z567" s="269"/>
      <c r="AA567" s="268"/>
      <c r="AB567" s="293">
        <v>529</v>
      </c>
      <c r="AC567" s="6"/>
      <c r="AD567" s="272"/>
      <c r="AE567" s="272"/>
      <c r="AF567" s="293">
        <v>529</v>
      </c>
      <c r="AG567" s="293">
        <v>1811</v>
      </c>
      <c r="AH567" s="294">
        <v>43209</v>
      </c>
      <c r="AI567" s="89">
        <v>340895</v>
      </c>
      <c r="AJ567" s="295" t="s">
        <v>1589</v>
      </c>
      <c r="AK567" s="296">
        <v>45478</v>
      </c>
      <c r="AL567" s="268"/>
      <c r="AM567" s="89">
        <v>340895</v>
      </c>
      <c r="AN567" s="295" t="s">
        <v>1792</v>
      </c>
      <c r="AO567" s="268"/>
      <c r="AP567" s="273">
        <f t="shared" si="65"/>
        <v>-340895</v>
      </c>
      <c r="AQ567" s="268"/>
      <c r="AR567" s="271"/>
      <c r="AS567" s="268"/>
      <c r="AT567" s="271"/>
      <c r="AU567" s="268"/>
    </row>
    <row r="568" spans="1:47" ht="76.5" x14ac:dyDescent="0.25">
      <c r="A568" s="267">
        <v>41</v>
      </c>
      <c r="B568" s="267" t="s">
        <v>209</v>
      </c>
      <c r="C568" s="284" t="s">
        <v>50</v>
      </c>
      <c r="D568" s="284" t="s">
        <v>51</v>
      </c>
      <c r="E568" s="284" t="s">
        <v>89</v>
      </c>
      <c r="F568" s="285" t="s">
        <v>186</v>
      </c>
      <c r="G568" s="285" t="s">
        <v>187</v>
      </c>
      <c r="H568" s="284" t="s">
        <v>188</v>
      </c>
      <c r="I568" s="268"/>
      <c r="J568" s="268"/>
      <c r="K568" s="268"/>
      <c r="L568" s="268"/>
      <c r="M568" s="268"/>
      <c r="N568" s="268"/>
      <c r="O568" s="268"/>
      <c r="P568" s="268"/>
      <c r="Q568" s="89"/>
      <c r="R568" s="270"/>
      <c r="S568" s="89"/>
      <c r="T568" s="268"/>
      <c r="U568" s="268"/>
      <c r="V568" s="271"/>
      <c r="W568" s="268"/>
      <c r="X568" s="267" t="s">
        <v>203</v>
      </c>
      <c r="Y568" s="271"/>
      <c r="Z568" s="269"/>
      <c r="AA568" s="268"/>
      <c r="AB568" s="293">
        <v>529</v>
      </c>
      <c r="AC568" s="6"/>
      <c r="AD568" s="272"/>
      <c r="AE568" s="272"/>
      <c r="AF568" s="293">
        <v>529</v>
      </c>
      <c r="AG568" s="293">
        <v>1839</v>
      </c>
      <c r="AH568" s="294">
        <v>43214</v>
      </c>
      <c r="AI568" s="89">
        <v>27270</v>
      </c>
      <c r="AJ568" s="295" t="s">
        <v>1589</v>
      </c>
      <c r="AK568" s="296">
        <v>391458</v>
      </c>
      <c r="AL568" s="96"/>
      <c r="AM568" s="89">
        <v>27270</v>
      </c>
      <c r="AN568" s="295" t="s">
        <v>1792</v>
      </c>
      <c r="AO568" s="268"/>
      <c r="AP568" s="273">
        <f t="shared" si="65"/>
        <v>-27270</v>
      </c>
      <c r="AQ568" s="268"/>
      <c r="AR568" s="271"/>
      <c r="AS568" s="268"/>
      <c r="AT568" s="271"/>
      <c r="AU568" s="268"/>
    </row>
    <row r="569" spans="1:47" ht="76.5" x14ac:dyDescent="0.25">
      <c r="A569" s="267">
        <v>41</v>
      </c>
      <c r="B569" s="267" t="s">
        <v>215</v>
      </c>
      <c r="C569" s="284" t="s">
        <v>50</v>
      </c>
      <c r="D569" s="284" t="s">
        <v>51</v>
      </c>
      <c r="E569" s="284" t="s">
        <v>89</v>
      </c>
      <c r="F569" s="285" t="s">
        <v>186</v>
      </c>
      <c r="G569" s="285" t="s">
        <v>187</v>
      </c>
      <c r="H569" s="284" t="s">
        <v>188</v>
      </c>
      <c r="I569" s="268"/>
      <c r="J569" s="268"/>
      <c r="K569" s="268"/>
      <c r="L569" s="268"/>
      <c r="M569" s="268"/>
      <c r="N569" s="268"/>
      <c r="O569" s="268"/>
      <c r="P569" s="268"/>
      <c r="Q569" s="89"/>
      <c r="R569" s="270"/>
      <c r="S569" s="89"/>
      <c r="T569" s="268"/>
      <c r="U569" s="268"/>
      <c r="V569" s="271"/>
      <c r="W569" s="268"/>
      <c r="X569" s="267" t="s">
        <v>203</v>
      </c>
      <c r="Y569" s="271"/>
      <c r="Z569" s="269"/>
      <c r="AA569" s="268"/>
      <c r="AB569" s="293">
        <v>529</v>
      </c>
      <c r="AC569" s="6"/>
      <c r="AD569" s="272"/>
      <c r="AE569" s="272"/>
      <c r="AF569" s="293">
        <v>529</v>
      </c>
      <c r="AG569" s="293">
        <v>1841</v>
      </c>
      <c r="AH569" s="294">
        <v>43214</v>
      </c>
      <c r="AI569" s="89">
        <v>149870</v>
      </c>
      <c r="AJ569" s="295" t="s">
        <v>1589</v>
      </c>
      <c r="AK569" s="296">
        <v>106676</v>
      </c>
      <c r="AL569" s="6"/>
      <c r="AM569" s="89">
        <v>149870</v>
      </c>
      <c r="AN569" s="295" t="s">
        <v>1792</v>
      </c>
      <c r="AO569" s="268"/>
      <c r="AP569" s="273">
        <f t="shared" si="65"/>
        <v>-149870</v>
      </c>
      <c r="AQ569" s="268"/>
      <c r="AR569" s="271"/>
      <c r="AS569" s="268"/>
      <c r="AT569" s="271"/>
      <c r="AU569" s="268"/>
    </row>
    <row r="570" spans="1:47" ht="76.5" x14ac:dyDescent="0.25">
      <c r="A570" s="267">
        <v>41</v>
      </c>
      <c r="B570" s="267" t="s">
        <v>218</v>
      </c>
      <c r="C570" s="284" t="s">
        <v>50</v>
      </c>
      <c r="D570" s="284" t="s">
        <v>51</v>
      </c>
      <c r="E570" s="284" t="s">
        <v>89</v>
      </c>
      <c r="F570" s="285" t="s">
        <v>186</v>
      </c>
      <c r="G570" s="285" t="s">
        <v>187</v>
      </c>
      <c r="H570" s="284" t="s">
        <v>188</v>
      </c>
      <c r="I570" s="268"/>
      <c r="J570" s="268"/>
      <c r="K570" s="268"/>
      <c r="L570" s="268"/>
      <c r="M570" s="268"/>
      <c r="N570" s="268"/>
      <c r="O570" s="268"/>
      <c r="P570" s="268"/>
      <c r="Q570" s="89"/>
      <c r="R570" s="270"/>
      <c r="S570" s="89"/>
      <c r="T570" s="268"/>
      <c r="U570" s="268"/>
      <c r="V570" s="271"/>
      <c r="W570" s="268"/>
      <c r="X570" s="267" t="s">
        <v>203</v>
      </c>
      <c r="Y570" s="271"/>
      <c r="Z570" s="269"/>
      <c r="AA570" s="268"/>
      <c r="AB570" s="293">
        <v>529</v>
      </c>
      <c r="AC570" s="6"/>
      <c r="AD570" s="272"/>
      <c r="AE570" s="272"/>
      <c r="AF570" s="293">
        <v>529</v>
      </c>
      <c r="AG570" s="293">
        <v>1849</v>
      </c>
      <c r="AH570" s="294">
        <v>43220</v>
      </c>
      <c r="AI570" s="89">
        <v>511229</v>
      </c>
      <c r="AJ570" s="295" t="s">
        <v>1833</v>
      </c>
      <c r="AK570" s="296">
        <v>446714</v>
      </c>
      <c r="AL570" s="268"/>
      <c r="AM570" s="89" t="s">
        <v>1792</v>
      </c>
      <c r="AN570" s="297">
        <v>511229</v>
      </c>
      <c r="AO570" s="268"/>
      <c r="AP570" s="273">
        <f t="shared" si="65"/>
        <v>-511229</v>
      </c>
      <c r="AQ570" s="268"/>
      <c r="AR570" s="271"/>
      <c r="AS570" s="268"/>
      <c r="AT570" s="271"/>
      <c r="AU570" s="268"/>
    </row>
    <row r="571" spans="1:47" ht="76.5" x14ac:dyDescent="0.25">
      <c r="A571" s="267">
        <v>42</v>
      </c>
      <c r="B571" s="267" t="s">
        <v>204</v>
      </c>
      <c r="C571" s="284" t="s">
        <v>50</v>
      </c>
      <c r="D571" s="284" t="s">
        <v>51</v>
      </c>
      <c r="E571" s="284" t="s">
        <v>89</v>
      </c>
      <c r="F571" s="285" t="s">
        <v>186</v>
      </c>
      <c r="G571" s="285" t="s">
        <v>187</v>
      </c>
      <c r="H571" s="284" t="s">
        <v>188</v>
      </c>
      <c r="I571" s="268" t="s">
        <v>56</v>
      </c>
      <c r="J571" s="268" t="s">
        <v>57</v>
      </c>
      <c r="K571" s="268">
        <v>82121700</v>
      </c>
      <c r="L571" s="268" t="s">
        <v>58</v>
      </c>
      <c r="M571" s="268" t="s">
        <v>59</v>
      </c>
      <c r="N571" s="268" t="s">
        <v>60</v>
      </c>
      <c r="O571" s="268" t="s">
        <v>61</v>
      </c>
      <c r="P571" s="268" t="s">
        <v>1834</v>
      </c>
      <c r="Q571" s="89">
        <v>85000000</v>
      </c>
      <c r="R571" s="270">
        <v>1</v>
      </c>
      <c r="S571" s="89">
        <v>146900000</v>
      </c>
      <c r="T571" s="268" t="s">
        <v>184</v>
      </c>
      <c r="U571" s="268" t="s">
        <v>205</v>
      </c>
      <c r="V571" s="271">
        <v>43174</v>
      </c>
      <c r="W571" s="268">
        <v>10</v>
      </c>
      <c r="X571" s="96" t="s">
        <v>206</v>
      </c>
      <c r="Y571" s="303">
        <v>43201</v>
      </c>
      <c r="Z571" s="304">
        <v>146900000</v>
      </c>
      <c r="AA571" s="97" t="s">
        <v>207</v>
      </c>
      <c r="AB571" s="293">
        <v>776</v>
      </c>
      <c r="AC571" s="295" t="s">
        <v>1835</v>
      </c>
      <c r="AD571" s="97">
        <v>146900000</v>
      </c>
      <c r="AE571" s="272">
        <f>S571-AD571</f>
        <v>0</v>
      </c>
      <c r="AF571" s="293">
        <v>776</v>
      </c>
      <c r="AG571" s="293"/>
      <c r="AH571" s="293"/>
      <c r="AI571" s="89"/>
      <c r="AJ571" s="295"/>
      <c r="AK571" s="296"/>
      <c r="AL571" s="268"/>
      <c r="AM571" s="89"/>
      <c r="AN571" s="305"/>
      <c r="AO571" s="268" t="s">
        <v>65</v>
      </c>
      <c r="AP571" s="273">
        <f t="shared" si="65"/>
        <v>146900000</v>
      </c>
      <c r="AQ571" s="268" t="s">
        <v>1836</v>
      </c>
      <c r="AR571" s="271"/>
      <c r="AS571" s="268"/>
      <c r="AT571" s="271"/>
      <c r="AU571" s="268"/>
    </row>
    <row r="572" spans="1:47" ht="76.5" x14ac:dyDescent="0.25">
      <c r="A572" s="267">
        <v>43</v>
      </c>
      <c r="B572" s="267" t="s">
        <v>209</v>
      </c>
      <c r="C572" s="284" t="s">
        <v>50</v>
      </c>
      <c r="D572" s="284" t="s">
        <v>51</v>
      </c>
      <c r="E572" s="284" t="s">
        <v>89</v>
      </c>
      <c r="F572" s="285" t="s">
        <v>186</v>
      </c>
      <c r="G572" s="285" t="s">
        <v>187</v>
      </c>
      <c r="H572" s="284" t="s">
        <v>188</v>
      </c>
      <c r="I572" s="268" t="s">
        <v>56</v>
      </c>
      <c r="J572" s="268" t="s">
        <v>57</v>
      </c>
      <c r="K572" s="268">
        <v>44122000</v>
      </c>
      <c r="L572" s="268" t="s">
        <v>58</v>
      </c>
      <c r="M572" s="268" t="s">
        <v>59</v>
      </c>
      <c r="N572" s="268" t="s">
        <v>60</v>
      </c>
      <c r="O572" s="268" t="s">
        <v>61</v>
      </c>
      <c r="P572" s="268" t="s">
        <v>210</v>
      </c>
      <c r="Q572" s="89">
        <v>1700000</v>
      </c>
      <c r="R572" s="270">
        <v>1</v>
      </c>
      <c r="S572" s="89">
        <v>17000000</v>
      </c>
      <c r="T572" s="268" t="s">
        <v>211</v>
      </c>
      <c r="U572" s="268" t="s">
        <v>212</v>
      </c>
      <c r="V572" s="271">
        <v>43189</v>
      </c>
      <c r="W572" s="268">
        <v>10</v>
      </c>
      <c r="X572" s="267"/>
      <c r="Y572" s="271"/>
      <c r="Z572" s="269"/>
      <c r="AA572" s="268"/>
      <c r="AB572" s="267"/>
      <c r="AC572" s="268"/>
      <c r="AD572" s="268"/>
      <c r="AE572" s="272">
        <f>S572-AD572</f>
        <v>17000000</v>
      </c>
      <c r="AF572" s="295"/>
      <c r="AG572" s="295"/>
      <c r="AH572" s="295"/>
      <c r="AI572" s="89"/>
      <c r="AJ572" s="295"/>
      <c r="AK572" s="295"/>
      <c r="AL572" s="295"/>
      <c r="AM572" s="89"/>
      <c r="AN572" s="295"/>
      <c r="AO572" s="268" t="s">
        <v>65</v>
      </c>
      <c r="AP572" s="273">
        <f t="shared" si="65"/>
        <v>17000000</v>
      </c>
      <c r="AQ572" s="268"/>
      <c r="AR572" s="271"/>
      <c r="AS572" s="268"/>
      <c r="AT572" s="271"/>
      <c r="AU572" s="268"/>
    </row>
    <row r="573" spans="1:47" ht="76.5" x14ac:dyDescent="0.25">
      <c r="A573" s="267">
        <v>44</v>
      </c>
      <c r="B573" s="267" t="s">
        <v>215</v>
      </c>
      <c r="C573" s="284" t="s">
        <v>50</v>
      </c>
      <c r="D573" s="284" t="s">
        <v>51</v>
      </c>
      <c r="E573" s="284" t="s">
        <v>89</v>
      </c>
      <c r="F573" s="285" t="s">
        <v>186</v>
      </c>
      <c r="G573" s="285" t="s">
        <v>187</v>
      </c>
      <c r="H573" s="284" t="s">
        <v>188</v>
      </c>
      <c r="I573" s="268" t="s">
        <v>56</v>
      </c>
      <c r="J573" s="268" t="s">
        <v>57</v>
      </c>
      <c r="K573" s="268">
        <v>83100000</v>
      </c>
      <c r="L573" s="268" t="s">
        <v>58</v>
      </c>
      <c r="M573" s="268" t="s">
        <v>59</v>
      </c>
      <c r="N573" s="268" t="s">
        <v>60</v>
      </c>
      <c r="O573" s="268" t="s">
        <v>61</v>
      </c>
      <c r="P573" s="268" t="s">
        <v>216</v>
      </c>
      <c r="Q573" s="89">
        <v>772333.33333333337</v>
      </c>
      <c r="R573" s="270">
        <v>1</v>
      </c>
      <c r="S573" s="89">
        <v>9268000</v>
      </c>
      <c r="T573" s="268" t="s">
        <v>63</v>
      </c>
      <c r="U573" s="268" t="s">
        <v>63</v>
      </c>
      <c r="V573" s="271">
        <v>43102</v>
      </c>
      <c r="W573" s="268">
        <v>12</v>
      </c>
      <c r="X573" s="267" t="s">
        <v>217</v>
      </c>
      <c r="Y573" s="271">
        <v>43117</v>
      </c>
      <c r="Z573" s="269">
        <v>9268000</v>
      </c>
      <c r="AA573" s="268"/>
      <c r="AB573" s="293">
        <v>520</v>
      </c>
      <c r="AC573" s="6" t="s">
        <v>1418</v>
      </c>
      <c r="AD573" s="272">
        <v>9268000</v>
      </c>
      <c r="AE573" s="272">
        <f>S573-AD573</f>
        <v>0</v>
      </c>
      <c r="AF573" s="293">
        <v>520</v>
      </c>
      <c r="AG573" s="293">
        <v>487</v>
      </c>
      <c r="AH573" s="294">
        <v>43126</v>
      </c>
      <c r="AI573" s="89">
        <v>534012</v>
      </c>
      <c r="AJ573" s="295" t="s">
        <v>1667</v>
      </c>
      <c r="AK573" s="296">
        <v>43506</v>
      </c>
      <c r="AL573" s="6"/>
      <c r="AM573" s="89">
        <v>534012</v>
      </c>
      <c r="AN573" s="295" t="s">
        <v>1792</v>
      </c>
      <c r="AO573" s="268" t="s">
        <v>65</v>
      </c>
      <c r="AP573" s="273">
        <f t="shared" si="65"/>
        <v>8733988</v>
      </c>
      <c r="AQ573" s="268"/>
      <c r="AR573" s="271"/>
      <c r="AS573" s="268"/>
      <c r="AT573" s="271"/>
      <c r="AU573" s="268"/>
    </row>
    <row r="574" spans="1:47" ht="76.5" x14ac:dyDescent="0.25">
      <c r="A574" s="267">
        <v>44</v>
      </c>
      <c r="B574" s="267" t="s">
        <v>215</v>
      </c>
      <c r="C574" s="284" t="s">
        <v>50</v>
      </c>
      <c r="D574" s="284" t="s">
        <v>51</v>
      </c>
      <c r="E574" s="284" t="s">
        <v>89</v>
      </c>
      <c r="F574" s="285" t="s">
        <v>186</v>
      </c>
      <c r="G574" s="285" t="s">
        <v>187</v>
      </c>
      <c r="H574" s="284" t="s">
        <v>188</v>
      </c>
      <c r="I574" s="268"/>
      <c r="J574" s="268"/>
      <c r="K574" s="268"/>
      <c r="L574" s="268"/>
      <c r="M574" s="268"/>
      <c r="N574" s="268"/>
      <c r="O574" s="268"/>
      <c r="P574" s="268"/>
      <c r="Q574" s="89"/>
      <c r="R574" s="270"/>
      <c r="S574" s="89"/>
      <c r="T574" s="268"/>
      <c r="U574" s="268"/>
      <c r="V574" s="271"/>
      <c r="W574" s="268"/>
      <c r="X574" s="267" t="s">
        <v>217</v>
      </c>
      <c r="Y574" s="271"/>
      <c r="Z574" s="269"/>
      <c r="AA574" s="268"/>
      <c r="AB574" s="293">
        <v>520</v>
      </c>
      <c r="AC574" s="6"/>
      <c r="AD574" s="272"/>
      <c r="AE574" s="272">
        <f>S574-AD574</f>
        <v>0</v>
      </c>
      <c r="AF574" s="293">
        <v>520</v>
      </c>
      <c r="AG574" s="293">
        <v>1466</v>
      </c>
      <c r="AH574" s="294">
        <v>43154</v>
      </c>
      <c r="AI574" s="89">
        <v>533942</v>
      </c>
      <c r="AJ574" s="295" t="s">
        <v>1667</v>
      </c>
      <c r="AK574" s="296">
        <v>16154</v>
      </c>
      <c r="AL574" s="6"/>
      <c r="AM574" s="89">
        <v>533942</v>
      </c>
      <c r="AN574" s="295" t="s">
        <v>1792</v>
      </c>
      <c r="AO574" s="268" t="s">
        <v>65</v>
      </c>
      <c r="AP574" s="273">
        <f t="shared" si="65"/>
        <v>-533942</v>
      </c>
      <c r="AQ574" s="268"/>
      <c r="AR574" s="271"/>
      <c r="AS574" s="268"/>
      <c r="AT574" s="271"/>
      <c r="AU574" s="268"/>
    </row>
    <row r="575" spans="1:47" ht="76.5" x14ac:dyDescent="0.25">
      <c r="A575" s="267">
        <v>44</v>
      </c>
      <c r="B575" s="267" t="s">
        <v>215</v>
      </c>
      <c r="C575" s="284" t="s">
        <v>50</v>
      </c>
      <c r="D575" s="284" t="s">
        <v>51</v>
      </c>
      <c r="E575" s="284" t="s">
        <v>89</v>
      </c>
      <c r="F575" s="285" t="s">
        <v>186</v>
      </c>
      <c r="G575" s="285" t="s">
        <v>187</v>
      </c>
      <c r="H575" s="284" t="s">
        <v>188</v>
      </c>
      <c r="I575" s="268"/>
      <c r="J575" s="268"/>
      <c r="K575" s="268"/>
      <c r="L575" s="268"/>
      <c r="M575" s="268"/>
      <c r="N575" s="268"/>
      <c r="O575" s="268"/>
      <c r="P575" s="268"/>
      <c r="Q575" s="89"/>
      <c r="R575" s="270"/>
      <c r="S575" s="89"/>
      <c r="T575" s="268"/>
      <c r="U575" s="268"/>
      <c r="V575" s="271"/>
      <c r="W575" s="268"/>
      <c r="X575" s="267" t="s">
        <v>217</v>
      </c>
      <c r="Y575" s="271"/>
      <c r="Z575" s="269"/>
      <c r="AA575" s="268"/>
      <c r="AB575" s="293">
        <v>520</v>
      </c>
      <c r="AC575" s="6"/>
      <c r="AD575" s="272"/>
      <c r="AE575" s="272">
        <f>S575-AD575</f>
        <v>0</v>
      </c>
      <c r="AF575" s="293">
        <v>520</v>
      </c>
      <c r="AG575" s="293">
        <v>1660</v>
      </c>
      <c r="AH575" s="294">
        <v>43185</v>
      </c>
      <c r="AI575" s="89">
        <v>534012</v>
      </c>
      <c r="AJ575" s="295" t="s">
        <v>1667</v>
      </c>
      <c r="AK575" s="296">
        <v>11910</v>
      </c>
      <c r="AL575" s="6"/>
      <c r="AM575" s="89">
        <v>534012</v>
      </c>
      <c r="AN575" s="295" t="s">
        <v>1792</v>
      </c>
      <c r="AO575" s="268" t="s">
        <v>65</v>
      </c>
      <c r="AP575" s="273">
        <f t="shared" si="65"/>
        <v>-534012</v>
      </c>
      <c r="AQ575" s="268"/>
      <c r="AR575" s="271"/>
      <c r="AS575" s="268"/>
      <c r="AT575" s="271"/>
      <c r="AU575" s="268"/>
    </row>
    <row r="576" spans="1:47" ht="76.5" x14ac:dyDescent="0.25">
      <c r="A576" s="267">
        <v>44</v>
      </c>
      <c r="B576" s="267" t="s">
        <v>215</v>
      </c>
      <c r="C576" s="284" t="s">
        <v>50</v>
      </c>
      <c r="D576" s="284" t="s">
        <v>51</v>
      </c>
      <c r="E576" s="284" t="s">
        <v>89</v>
      </c>
      <c r="F576" s="285" t="s">
        <v>186</v>
      </c>
      <c r="G576" s="285" t="s">
        <v>187</v>
      </c>
      <c r="H576" s="284" t="s">
        <v>188</v>
      </c>
      <c r="I576" s="268"/>
      <c r="J576" s="268"/>
      <c r="K576" s="268"/>
      <c r="L576" s="268"/>
      <c r="M576" s="268"/>
      <c r="N576" s="268"/>
      <c r="O576" s="268"/>
      <c r="P576" s="268"/>
      <c r="Q576" s="89"/>
      <c r="R576" s="270"/>
      <c r="S576" s="89"/>
      <c r="T576" s="268"/>
      <c r="U576" s="268"/>
      <c r="V576" s="271"/>
      <c r="W576" s="268"/>
      <c r="X576" s="267" t="s">
        <v>217</v>
      </c>
      <c r="Y576" s="271"/>
      <c r="Z576" s="269"/>
      <c r="AA576" s="268"/>
      <c r="AB576" s="293">
        <v>520</v>
      </c>
      <c r="AC576" s="6"/>
      <c r="AD576" s="272"/>
      <c r="AE576" s="272"/>
      <c r="AF576" s="293">
        <v>520</v>
      </c>
      <c r="AG576" s="293">
        <v>1848</v>
      </c>
      <c r="AH576" s="294">
        <v>43217</v>
      </c>
      <c r="AI576" s="89">
        <v>534012</v>
      </c>
      <c r="AJ576" s="295" t="s">
        <v>1667</v>
      </c>
      <c r="AK576" s="296">
        <v>493615</v>
      </c>
      <c r="AL576" s="6"/>
      <c r="AM576" s="89" t="s">
        <v>1792</v>
      </c>
      <c r="AN576" s="297">
        <v>534012</v>
      </c>
      <c r="AO576" s="268"/>
      <c r="AP576" s="273">
        <f t="shared" si="65"/>
        <v>-534012</v>
      </c>
      <c r="AQ576" s="268"/>
      <c r="AR576" s="271"/>
      <c r="AS576" s="268"/>
      <c r="AT576" s="271"/>
      <c r="AU576" s="268"/>
    </row>
    <row r="577" spans="1:47" ht="76.5" x14ac:dyDescent="0.25">
      <c r="A577" s="267">
        <v>45</v>
      </c>
      <c r="B577" s="267" t="s">
        <v>218</v>
      </c>
      <c r="C577" s="284" t="s">
        <v>50</v>
      </c>
      <c r="D577" s="284" t="s">
        <v>51</v>
      </c>
      <c r="E577" s="284" t="s">
        <v>89</v>
      </c>
      <c r="F577" s="285" t="s">
        <v>186</v>
      </c>
      <c r="G577" s="285" t="s">
        <v>187</v>
      </c>
      <c r="H577" s="284" t="s">
        <v>219</v>
      </c>
      <c r="I577" s="268" t="s">
        <v>56</v>
      </c>
      <c r="J577" s="268" t="s">
        <v>57</v>
      </c>
      <c r="K577" s="268">
        <v>78111800</v>
      </c>
      <c r="L577" s="268" t="s">
        <v>58</v>
      </c>
      <c r="M577" s="268" t="s">
        <v>59</v>
      </c>
      <c r="N577" s="268" t="s">
        <v>60</v>
      </c>
      <c r="O577" s="268" t="s">
        <v>61</v>
      </c>
      <c r="P577" s="268" t="s">
        <v>1837</v>
      </c>
      <c r="Q577" s="89">
        <v>4166666.6666666665</v>
      </c>
      <c r="R577" s="270">
        <v>1</v>
      </c>
      <c r="S577" s="89">
        <v>60000000</v>
      </c>
      <c r="T577" s="268" t="s">
        <v>184</v>
      </c>
      <c r="U577" s="268" t="s">
        <v>212</v>
      </c>
      <c r="V577" s="271">
        <v>43258</v>
      </c>
      <c r="W577" s="268">
        <v>12</v>
      </c>
      <c r="X577" s="96" t="s">
        <v>220</v>
      </c>
      <c r="Y577" s="303">
        <v>43203</v>
      </c>
      <c r="Z577" s="304">
        <v>60000000</v>
      </c>
      <c r="AA577" s="97" t="s">
        <v>221</v>
      </c>
      <c r="AB577" s="293">
        <v>795</v>
      </c>
      <c r="AC577" s="268" t="s">
        <v>1838</v>
      </c>
      <c r="AD577" s="269">
        <v>60000000</v>
      </c>
      <c r="AE577" s="272">
        <f t="shared" ref="AE577:AE595" si="66">S577-AD577</f>
        <v>0</v>
      </c>
      <c r="AF577" s="293">
        <v>795</v>
      </c>
      <c r="AG577" s="293"/>
      <c r="AH577" s="293"/>
      <c r="AI577" s="89"/>
      <c r="AJ577" s="295"/>
      <c r="AK577" s="296"/>
      <c r="AL577" s="268"/>
      <c r="AM577" s="89"/>
      <c r="AN577" s="305"/>
      <c r="AO577" s="268" t="s">
        <v>65</v>
      </c>
      <c r="AP577" s="273">
        <f t="shared" si="65"/>
        <v>60000000</v>
      </c>
      <c r="AQ577" s="268"/>
      <c r="AR577" s="271"/>
      <c r="AS577" s="268"/>
      <c r="AT577" s="271"/>
      <c r="AU577" s="268"/>
    </row>
    <row r="578" spans="1:47" ht="76.5" x14ac:dyDescent="0.25">
      <c r="A578" s="267">
        <v>46</v>
      </c>
      <c r="B578" s="267" t="s">
        <v>223</v>
      </c>
      <c r="C578" s="284" t="s">
        <v>50</v>
      </c>
      <c r="D578" s="284" t="s">
        <v>51</v>
      </c>
      <c r="E578" s="284" t="s">
        <v>89</v>
      </c>
      <c r="F578" s="285" t="s">
        <v>186</v>
      </c>
      <c r="G578" s="285" t="s">
        <v>187</v>
      </c>
      <c r="H578" s="284" t="s">
        <v>219</v>
      </c>
      <c r="I578" s="268" t="s">
        <v>56</v>
      </c>
      <c r="J578" s="268" t="s">
        <v>57</v>
      </c>
      <c r="K578" s="268">
        <v>78111800</v>
      </c>
      <c r="L578" s="268" t="s">
        <v>58</v>
      </c>
      <c r="M578" s="268" t="s">
        <v>59</v>
      </c>
      <c r="N578" s="268" t="s">
        <v>60</v>
      </c>
      <c r="O578" s="268" t="s">
        <v>61</v>
      </c>
      <c r="P578" s="268" t="s">
        <v>224</v>
      </c>
      <c r="Q578" s="89">
        <v>110000000</v>
      </c>
      <c r="R578" s="270">
        <v>1</v>
      </c>
      <c r="S578" s="89">
        <f>550000000-35000000</f>
        <v>515000000</v>
      </c>
      <c r="T578" s="268" t="s">
        <v>184</v>
      </c>
      <c r="U578" s="268" t="s">
        <v>199</v>
      </c>
      <c r="V578" s="271">
        <v>43266</v>
      </c>
      <c r="W578" s="268">
        <v>5</v>
      </c>
      <c r="X578" s="267"/>
      <c r="Y578" s="271"/>
      <c r="Z578" s="269"/>
      <c r="AA578" s="268"/>
      <c r="AB578" s="267"/>
      <c r="AC578" s="268"/>
      <c r="AD578" s="268"/>
      <c r="AE578" s="272">
        <f t="shared" si="66"/>
        <v>515000000</v>
      </c>
      <c r="AF578" s="295"/>
      <c r="AG578" s="295"/>
      <c r="AH578" s="295"/>
      <c r="AI578" s="89"/>
      <c r="AJ578" s="295"/>
      <c r="AK578" s="295"/>
      <c r="AL578" s="295"/>
      <c r="AM578" s="89"/>
      <c r="AN578" s="295"/>
      <c r="AO578" s="268" t="s">
        <v>65</v>
      </c>
      <c r="AP578" s="273">
        <f t="shared" si="65"/>
        <v>515000000</v>
      </c>
      <c r="AQ578" s="268"/>
      <c r="AR578" s="271"/>
      <c r="AS578" s="268"/>
      <c r="AT578" s="271"/>
      <c r="AU578" s="268" t="s">
        <v>1839</v>
      </c>
    </row>
    <row r="579" spans="1:47" ht="76.5" x14ac:dyDescent="0.25">
      <c r="A579" s="267">
        <v>47</v>
      </c>
      <c r="B579" s="267" t="s">
        <v>225</v>
      </c>
      <c r="C579" s="284" t="s">
        <v>50</v>
      </c>
      <c r="D579" s="284" t="s">
        <v>51</v>
      </c>
      <c r="E579" s="284" t="s">
        <v>89</v>
      </c>
      <c r="F579" s="285" t="s">
        <v>186</v>
      </c>
      <c r="G579" s="285" t="s">
        <v>187</v>
      </c>
      <c r="H579" s="284" t="s">
        <v>226</v>
      </c>
      <c r="I579" s="268" t="s">
        <v>56</v>
      </c>
      <c r="J579" s="268" t="s">
        <v>57</v>
      </c>
      <c r="K579" s="268">
        <v>92101501</v>
      </c>
      <c r="L579" s="268" t="s">
        <v>58</v>
      </c>
      <c r="M579" s="268" t="s">
        <v>59</v>
      </c>
      <c r="N579" s="268" t="s">
        <v>60</v>
      </c>
      <c r="O579" s="268" t="s">
        <v>61</v>
      </c>
      <c r="P579" s="268" t="s">
        <v>1840</v>
      </c>
      <c r="Q579" s="89">
        <v>62764300</v>
      </c>
      <c r="R579" s="270">
        <v>1</v>
      </c>
      <c r="S579" s="89">
        <v>627643000</v>
      </c>
      <c r="T579" s="268" t="s">
        <v>184</v>
      </c>
      <c r="U579" s="268" t="s">
        <v>199</v>
      </c>
      <c r="V579" s="271">
        <v>43156</v>
      </c>
      <c r="W579" s="268">
        <v>10</v>
      </c>
      <c r="X579" s="96" t="s">
        <v>228</v>
      </c>
      <c r="Y579" s="303">
        <v>43207</v>
      </c>
      <c r="Z579" s="304">
        <v>566203751</v>
      </c>
      <c r="AA579" s="268"/>
      <c r="AB579" s="293">
        <v>796</v>
      </c>
      <c r="AC579" s="295" t="s">
        <v>1838</v>
      </c>
      <c r="AD579" s="97">
        <v>566203751</v>
      </c>
      <c r="AE579" s="272">
        <f t="shared" si="66"/>
        <v>61439249</v>
      </c>
      <c r="AF579" s="293">
        <v>796</v>
      </c>
      <c r="AG579" s="293"/>
      <c r="AH579" s="293"/>
      <c r="AI579" s="89"/>
      <c r="AJ579" s="295"/>
      <c r="AK579" s="296"/>
      <c r="AL579" s="268"/>
      <c r="AM579" s="89"/>
      <c r="AN579" s="305"/>
      <c r="AO579" s="268" t="s">
        <v>121</v>
      </c>
      <c r="AP579" s="273">
        <f t="shared" si="65"/>
        <v>627643000</v>
      </c>
      <c r="AQ579" s="268"/>
      <c r="AR579" s="271"/>
      <c r="AS579" s="268"/>
      <c r="AT579" s="271"/>
      <c r="AU579" s="268"/>
    </row>
    <row r="580" spans="1:47" ht="89.25" x14ac:dyDescent="0.25">
      <c r="A580" s="267">
        <v>48</v>
      </c>
      <c r="B580" s="267" t="s">
        <v>229</v>
      </c>
      <c r="C580" s="284" t="s">
        <v>50</v>
      </c>
      <c r="D580" s="284" t="s">
        <v>51</v>
      </c>
      <c r="E580" s="284" t="s">
        <v>89</v>
      </c>
      <c r="F580" s="285" t="s">
        <v>186</v>
      </c>
      <c r="G580" s="285" t="s">
        <v>230</v>
      </c>
      <c r="H580" s="284" t="s">
        <v>231</v>
      </c>
      <c r="I580" s="268" t="s">
        <v>56</v>
      </c>
      <c r="J580" s="268" t="s">
        <v>57</v>
      </c>
      <c r="K580" s="268">
        <v>84000000</v>
      </c>
      <c r="L580" s="268" t="s">
        <v>58</v>
      </c>
      <c r="M580" s="268" t="s">
        <v>59</v>
      </c>
      <c r="N580" s="268" t="s">
        <v>60</v>
      </c>
      <c r="O580" s="268" t="s">
        <v>61</v>
      </c>
      <c r="P580" s="268" t="s">
        <v>232</v>
      </c>
      <c r="Q580" s="89">
        <v>29899000</v>
      </c>
      <c r="R580" s="270">
        <v>1</v>
      </c>
      <c r="S580" s="89">
        <f>298990000-36308000-61900000-29500000</f>
        <v>171282000</v>
      </c>
      <c r="T580" s="268" t="s">
        <v>233</v>
      </c>
      <c r="U580" s="268" t="s">
        <v>199</v>
      </c>
      <c r="V580" s="271">
        <v>43300</v>
      </c>
      <c r="W580" s="268">
        <v>10</v>
      </c>
      <c r="X580" s="267"/>
      <c r="Y580" s="271"/>
      <c r="Z580" s="269"/>
      <c r="AA580" s="268"/>
      <c r="AB580" s="267"/>
      <c r="AC580" s="268"/>
      <c r="AD580" s="268"/>
      <c r="AE580" s="272">
        <f t="shared" si="66"/>
        <v>171282000</v>
      </c>
      <c r="AF580" s="295"/>
      <c r="AG580" s="295"/>
      <c r="AH580" s="295"/>
      <c r="AI580" s="89"/>
      <c r="AJ580" s="295"/>
      <c r="AK580" s="295"/>
      <c r="AL580" s="295"/>
      <c r="AM580" s="89"/>
      <c r="AN580" s="295"/>
      <c r="AO580" s="268" t="s">
        <v>65</v>
      </c>
      <c r="AP580" s="273">
        <f t="shared" si="65"/>
        <v>171282000</v>
      </c>
      <c r="AQ580" s="268" t="s">
        <v>1841</v>
      </c>
      <c r="AR580" s="271"/>
      <c r="AS580" s="268"/>
      <c r="AT580" s="271"/>
      <c r="AU580" s="268"/>
    </row>
    <row r="581" spans="1:47" ht="89.25" x14ac:dyDescent="0.25">
      <c r="A581" s="267">
        <v>49</v>
      </c>
      <c r="B581" s="267" t="s">
        <v>234</v>
      </c>
      <c r="C581" s="284" t="s">
        <v>50</v>
      </c>
      <c r="D581" s="284" t="s">
        <v>51</v>
      </c>
      <c r="E581" s="284" t="s">
        <v>89</v>
      </c>
      <c r="F581" s="285" t="s">
        <v>186</v>
      </c>
      <c r="G581" s="285" t="s">
        <v>230</v>
      </c>
      <c r="H581" s="284" t="s">
        <v>235</v>
      </c>
      <c r="I581" s="268" t="s">
        <v>56</v>
      </c>
      <c r="J581" s="268" t="s">
        <v>57</v>
      </c>
      <c r="K581" s="268">
        <v>80131500</v>
      </c>
      <c r="L581" s="268" t="s">
        <v>58</v>
      </c>
      <c r="M581" s="268" t="s">
        <v>59</v>
      </c>
      <c r="N581" s="268" t="s">
        <v>60</v>
      </c>
      <c r="O581" s="268" t="s">
        <v>61</v>
      </c>
      <c r="P581" s="268" t="s">
        <v>236</v>
      </c>
      <c r="Q581" s="89">
        <v>13870000</v>
      </c>
      <c r="R581" s="270">
        <v>1</v>
      </c>
      <c r="S581" s="89">
        <v>166440000</v>
      </c>
      <c r="T581" s="268" t="s">
        <v>237</v>
      </c>
      <c r="U581" s="268" t="s">
        <v>68</v>
      </c>
      <c r="V581" s="271">
        <v>43363</v>
      </c>
      <c r="W581" s="268">
        <v>12</v>
      </c>
      <c r="X581" s="267"/>
      <c r="Y581" s="271"/>
      <c r="Z581" s="269"/>
      <c r="AA581" s="268"/>
      <c r="AB581" s="267"/>
      <c r="AC581" s="268"/>
      <c r="AD581" s="268"/>
      <c r="AE581" s="272">
        <f t="shared" si="66"/>
        <v>166440000</v>
      </c>
      <c r="AF581" s="295"/>
      <c r="AG581" s="295"/>
      <c r="AH581" s="295"/>
      <c r="AI581" s="89"/>
      <c r="AJ581" s="295"/>
      <c r="AK581" s="295"/>
      <c r="AL581" s="295"/>
      <c r="AM581" s="89"/>
      <c r="AN581" s="295"/>
      <c r="AO581" s="268" t="s">
        <v>65</v>
      </c>
      <c r="AP581" s="273">
        <f t="shared" si="65"/>
        <v>166440000</v>
      </c>
      <c r="AQ581" s="268"/>
      <c r="AR581" s="271"/>
      <c r="AS581" s="268"/>
      <c r="AT581" s="271"/>
      <c r="AU581" s="268"/>
    </row>
    <row r="582" spans="1:47" ht="89.25" x14ac:dyDescent="0.25">
      <c r="A582" s="267">
        <v>50</v>
      </c>
      <c r="B582" s="267" t="s">
        <v>238</v>
      </c>
      <c r="C582" s="284" t="s">
        <v>50</v>
      </c>
      <c r="D582" s="284" t="s">
        <v>51</v>
      </c>
      <c r="E582" s="284" t="s">
        <v>89</v>
      </c>
      <c r="F582" s="285" t="s">
        <v>186</v>
      </c>
      <c r="G582" s="285" t="s">
        <v>230</v>
      </c>
      <c r="H582" s="284" t="s">
        <v>235</v>
      </c>
      <c r="I582" s="268" t="s">
        <v>56</v>
      </c>
      <c r="J582" s="268" t="s">
        <v>57</v>
      </c>
      <c r="K582" s="268">
        <v>80131500</v>
      </c>
      <c r="L582" s="268" t="s">
        <v>58</v>
      </c>
      <c r="M582" s="268" t="s">
        <v>59</v>
      </c>
      <c r="N582" s="268" t="s">
        <v>60</v>
      </c>
      <c r="O582" s="268" t="s">
        <v>61</v>
      </c>
      <c r="P582" s="268" t="s">
        <v>1842</v>
      </c>
      <c r="Q582" s="89">
        <v>5738333.333333333</v>
      </c>
      <c r="R582" s="270">
        <v>1</v>
      </c>
      <c r="S582" s="89">
        <v>68860000</v>
      </c>
      <c r="T582" s="268" t="s">
        <v>237</v>
      </c>
      <c r="U582" s="268" t="s">
        <v>68</v>
      </c>
      <c r="V582" s="271">
        <v>43117</v>
      </c>
      <c r="W582" s="268">
        <v>11.5</v>
      </c>
      <c r="X582" s="267" t="s">
        <v>239</v>
      </c>
      <c r="Y582" s="271">
        <v>43117</v>
      </c>
      <c r="Z582" s="269">
        <v>65884824</v>
      </c>
      <c r="AA582" s="268"/>
      <c r="AB582" s="293">
        <v>517</v>
      </c>
      <c r="AC582" s="6" t="s">
        <v>1418</v>
      </c>
      <c r="AD582" s="272">
        <v>65884824</v>
      </c>
      <c r="AE582" s="272">
        <f t="shared" si="66"/>
        <v>2975176</v>
      </c>
      <c r="AF582" s="293">
        <v>517</v>
      </c>
      <c r="AG582" s="293">
        <v>358</v>
      </c>
      <c r="AH582" s="294">
        <v>43123</v>
      </c>
      <c r="AI582" s="89">
        <v>65884824</v>
      </c>
      <c r="AJ582" s="295" t="s">
        <v>1843</v>
      </c>
      <c r="AK582" s="296">
        <v>291</v>
      </c>
      <c r="AL582" s="6"/>
      <c r="AM582" s="89">
        <v>12444911</v>
      </c>
      <c r="AN582" s="297">
        <v>53439913</v>
      </c>
      <c r="AO582" s="268" t="s">
        <v>65</v>
      </c>
      <c r="AP582" s="273">
        <f t="shared" si="65"/>
        <v>2975176</v>
      </c>
      <c r="AQ582" s="268" t="s">
        <v>240</v>
      </c>
      <c r="AR582" s="271"/>
      <c r="AS582" s="268"/>
      <c r="AT582" s="271"/>
      <c r="AU582" s="268"/>
    </row>
    <row r="583" spans="1:47" ht="89.25" x14ac:dyDescent="0.25">
      <c r="A583" s="267">
        <v>51</v>
      </c>
      <c r="B583" s="267" t="s">
        <v>241</v>
      </c>
      <c r="C583" s="284" t="s">
        <v>50</v>
      </c>
      <c r="D583" s="284" t="s">
        <v>51</v>
      </c>
      <c r="E583" s="284" t="s">
        <v>89</v>
      </c>
      <c r="F583" s="285" t="s">
        <v>186</v>
      </c>
      <c r="G583" s="285" t="s">
        <v>230</v>
      </c>
      <c r="H583" s="284" t="s">
        <v>235</v>
      </c>
      <c r="I583" s="268" t="s">
        <v>56</v>
      </c>
      <c r="J583" s="268" t="s">
        <v>57</v>
      </c>
      <c r="K583" s="268">
        <v>24112409</v>
      </c>
      <c r="L583" s="268" t="s">
        <v>58</v>
      </c>
      <c r="M583" s="268" t="s">
        <v>59</v>
      </c>
      <c r="N583" s="268" t="s">
        <v>60</v>
      </c>
      <c r="O583" s="268" t="s">
        <v>61</v>
      </c>
      <c r="P583" s="268" t="s">
        <v>242</v>
      </c>
      <c r="Q583" s="89">
        <v>43140000</v>
      </c>
      <c r="R583" s="270">
        <v>1</v>
      </c>
      <c r="S583" s="89">
        <v>43140000</v>
      </c>
      <c r="T583" s="268" t="s">
        <v>243</v>
      </c>
      <c r="U583" s="268" t="s">
        <v>212</v>
      </c>
      <c r="V583" s="271">
        <v>43294</v>
      </c>
      <c r="W583" s="268">
        <v>1</v>
      </c>
      <c r="X583" s="267"/>
      <c r="Y583" s="271"/>
      <c r="Z583" s="269"/>
      <c r="AA583" s="268"/>
      <c r="AB583" s="267"/>
      <c r="AC583" s="268"/>
      <c r="AD583" s="268"/>
      <c r="AE583" s="272">
        <f t="shared" si="66"/>
        <v>43140000</v>
      </c>
      <c r="AF583" s="295"/>
      <c r="AG583" s="295"/>
      <c r="AH583" s="295"/>
      <c r="AI583" s="89"/>
      <c r="AJ583" s="295"/>
      <c r="AK583" s="295"/>
      <c r="AL583" s="295"/>
      <c r="AM583" s="89"/>
      <c r="AN583" s="295"/>
      <c r="AO583" s="268" t="s">
        <v>65</v>
      </c>
      <c r="AP583" s="273">
        <f t="shared" si="65"/>
        <v>43140000</v>
      </c>
      <c r="AQ583" s="268" t="s">
        <v>244</v>
      </c>
      <c r="AR583" s="271"/>
      <c r="AS583" s="268"/>
      <c r="AT583" s="271"/>
      <c r="AU583" s="268"/>
    </row>
    <row r="584" spans="1:47" ht="89.25" x14ac:dyDescent="0.25">
      <c r="A584" s="267">
        <v>52</v>
      </c>
      <c r="B584" s="267" t="s">
        <v>245</v>
      </c>
      <c r="C584" s="284" t="s">
        <v>50</v>
      </c>
      <c r="D584" s="284" t="s">
        <v>51</v>
      </c>
      <c r="E584" s="284" t="s">
        <v>89</v>
      </c>
      <c r="F584" s="285" t="s">
        <v>186</v>
      </c>
      <c r="G584" s="285" t="s">
        <v>230</v>
      </c>
      <c r="H584" s="284" t="s">
        <v>235</v>
      </c>
      <c r="I584" s="268" t="s">
        <v>56</v>
      </c>
      <c r="J584" s="268" t="s">
        <v>57</v>
      </c>
      <c r="K584" s="268">
        <v>42172000</v>
      </c>
      <c r="L584" s="268" t="s">
        <v>58</v>
      </c>
      <c r="M584" s="268" t="s">
        <v>59</v>
      </c>
      <c r="N584" s="268" t="s">
        <v>60</v>
      </c>
      <c r="O584" s="268" t="s">
        <v>61</v>
      </c>
      <c r="P584" s="268" t="s">
        <v>1844</v>
      </c>
      <c r="Q584" s="89">
        <v>6963000</v>
      </c>
      <c r="R584" s="270">
        <v>1</v>
      </c>
      <c r="S584" s="89">
        <v>6963000</v>
      </c>
      <c r="T584" s="268" t="s">
        <v>243</v>
      </c>
      <c r="U584" s="268" t="s">
        <v>190</v>
      </c>
      <c r="V584" s="271">
        <v>43181</v>
      </c>
      <c r="W584" s="268">
        <v>1</v>
      </c>
      <c r="X584" s="267"/>
      <c r="Y584" s="271"/>
      <c r="Z584" s="269"/>
      <c r="AA584" s="268"/>
      <c r="AB584" s="267"/>
      <c r="AC584" s="268"/>
      <c r="AD584" s="268"/>
      <c r="AE584" s="272">
        <f t="shared" si="66"/>
        <v>6963000</v>
      </c>
      <c r="AF584" s="295"/>
      <c r="AG584" s="295"/>
      <c r="AH584" s="295"/>
      <c r="AI584" s="89"/>
      <c r="AJ584" s="295"/>
      <c r="AK584" s="295"/>
      <c r="AL584" s="295"/>
      <c r="AM584" s="89"/>
      <c r="AN584" s="295"/>
      <c r="AO584" s="268" t="s">
        <v>65</v>
      </c>
      <c r="AP584" s="273">
        <f t="shared" si="65"/>
        <v>6963000</v>
      </c>
      <c r="AQ584" s="268"/>
      <c r="AR584" s="271"/>
      <c r="AS584" s="268"/>
      <c r="AT584" s="271"/>
      <c r="AU584" s="268"/>
    </row>
    <row r="585" spans="1:47" ht="89.25" x14ac:dyDescent="0.25">
      <c r="A585" s="267">
        <v>53</v>
      </c>
      <c r="B585" s="267" t="s">
        <v>246</v>
      </c>
      <c r="C585" s="284" t="s">
        <v>50</v>
      </c>
      <c r="D585" s="284" t="s">
        <v>51</v>
      </c>
      <c r="E585" s="284" t="s">
        <v>89</v>
      </c>
      <c r="F585" s="285" t="s">
        <v>186</v>
      </c>
      <c r="G585" s="285" t="s">
        <v>230</v>
      </c>
      <c r="H585" s="284" t="s">
        <v>235</v>
      </c>
      <c r="I585" s="268" t="s">
        <v>56</v>
      </c>
      <c r="J585" s="268" t="s">
        <v>57</v>
      </c>
      <c r="K585" s="268">
        <v>80131500</v>
      </c>
      <c r="L585" s="268" t="s">
        <v>58</v>
      </c>
      <c r="M585" s="268" t="s">
        <v>59</v>
      </c>
      <c r="N585" s="268" t="s">
        <v>60</v>
      </c>
      <c r="O585" s="268" t="s">
        <v>61</v>
      </c>
      <c r="P585" s="268" t="s">
        <v>247</v>
      </c>
      <c r="Q585" s="89">
        <v>8387000</v>
      </c>
      <c r="R585" s="270">
        <v>1</v>
      </c>
      <c r="S585" s="89">
        <v>8387000</v>
      </c>
      <c r="T585" s="268" t="s">
        <v>243</v>
      </c>
      <c r="U585" s="268" t="s">
        <v>190</v>
      </c>
      <c r="V585" s="271">
        <v>43216</v>
      </c>
      <c r="W585" s="268">
        <v>1</v>
      </c>
      <c r="X585" s="267"/>
      <c r="Y585" s="271"/>
      <c r="Z585" s="269"/>
      <c r="AA585" s="268"/>
      <c r="AB585" s="267"/>
      <c r="AC585" s="268"/>
      <c r="AD585" s="268"/>
      <c r="AE585" s="272">
        <f t="shared" si="66"/>
        <v>8387000</v>
      </c>
      <c r="AF585" s="295"/>
      <c r="AG585" s="295"/>
      <c r="AH585" s="295"/>
      <c r="AI585" s="89"/>
      <c r="AJ585" s="295"/>
      <c r="AK585" s="295"/>
      <c r="AL585" s="295"/>
      <c r="AM585" s="89"/>
      <c r="AN585" s="295"/>
      <c r="AO585" s="268" t="s">
        <v>65</v>
      </c>
      <c r="AP585" s="273">
        <f t="shared" si="65"/>
        <v>8387000</v>
      </c>
      <c r="AQ585" s="268"/>
      <c r="AR585" s="271"/>
      <c r="AS585" s="268"/>
      <c r="AT585" s="271"/>
      <c r="AU585" s="268"/>
    </row>
    <row r="586" spans="1:47" ht="89.25" x14ac:dyDescent="0.25">
      <c r="A586" s="267">
        <v>54</v>
      </c>
      <c r="B586" s="267" t="s">
        <v>248</v>
      </c>
      <c r="C586" s="284" t="s">
        <v>50</v>
      </c>
      <c r="D586" s="284" t="s">
        <v>51</v>
      </c>
      <c r="E586" s="284" t="s">
        <v>89</v>
      </c>
      <c r="F586" s="285" t="s">
        <v>186</v>
      </c>
      <c r="G586" s="285" t="s">
        <v>230</v>
      </c>
      <c r="H586" s="284" t="s">
        <v>235</v>
      </c>
      <c r="I586" s="268" t="s">
        <v>56</v>
      </c>
      <c r="J586" s="268" t="s">
        <v>57</v>
      </c>
      <c r="K586" s="268">
        <v>80131500</v>
      </c>
      <c r="L586" s="268" t="s">
        <v>58</v>
      </c>
      <c r="M586" s="268" t="s">
        <v>59</v>
      </c>
      <c r="N586" s="268" t="s">
        <v>60</v>
      </c>
      <c r="O586" s="268" t="s">
        <v>61</v>
      </c>
      <c r="P586" s="268" t="s">
        <v>249</v>
      </c>
      <c r="Q586" s="89">
        <v>1341500</v>
      </c>
      <c r="R586" s="270">
        <v>1</v>
      </c>
      <c r="S586" s="89">
        <v>16098000</v>
      </c>
      <c r="T586" s="268" t="s">
        <v>237</v>
      </c>
      <c r="U586" s="268" t="s">
        <v>68</v>
      </c>
      <c r="V586" s="271">
        <v>43153</v>
      </c>
      <c r="W586" s="268">
        <v>12</v>
      </c>
      <c r="X586" s="267"/>
      <c r="Y586" s="271"/>
      <c r="Z586" s="269"/>
      <c r="AA586" s="268"/>
      <c r="AB586" s="267"/>
      <c r="AC586" s="268"/>
      <c r="AD586" s="268"/>
      <c r="AE586" s="272">
        <f t="shared" si="66"/>
        <v>16098000</v>
      </c>
      <c r="AF586" s="295"/>
      <c r="AG586" s="295"/>
      <c r="AH586" s="295"/>
      <c r="AI586" s="89"/>
      <c r="AJ586" s="295"/>
      <c r="AK586" s="295"/>
      <c r="AL586" s="295"/>
      <c r="AM586" s="89"/>
      <c r="AN586" s="295"/>
      <c r="AO586" s="268" t="s">
        <v>65</v>
      </c>
      <c r="AP586" s="273">
        <f t="shared" si="65"/>
        <v>16098000</v>
      </c>
      <c r="AQ586" s="268"/>
      <c r="AR586" s="271"/>
      <c r="AS586" s="268"/>
      <c r="AT586" s="271"/>
      <c r="AU586" s="268"/>
    </row>
    <row r="587" spans="1:47" ht="89.25" x14ac:dyDescent="0.25">
      <c r="A587" s="267">
        <v>55</v>
      </c>
      <c r="B587" s="267" t="s">
        <v>250</v>
      </c>
      <c r="C587" s="284" t="s">
        <v>50</v>
      </c>
      <c r="D587" s="284" t="s">
        <v>51</v>
      </c>
      <c r="E587" s="284" t="s">
        <v>52</v>
      </c>
      <c r="F587" s="285" t="s">
        <v>186</v>
      </c>
      <c r="G587" s="285" t="s">
        <v>230</v>
      </c>
      <c r="H587" s="284" t="s">
        <v>235</v>
      </c>
      <c r="I587" s="268" t="s">
        <v>56</v>
      </c>
      <c r="J587" s="268" t="s">
        <v>57</v>
      </c>
      <c r="K587" s="268">
        <v>73152100</v>
      </c>
      <c r="L587" s="268" t="s">
        <v>58</v>
      </c>
      <c r="M587" s="268" t="s">
        <v>59</v>
      </c>
      <c r="N587" s="268" t="s">
        <v>60</v>
      </c>
      <c r="O587" s="268" t="s">
        <v>61</v>
      </c>
      <c r="P587" s="268" t="s">
        <v>251</v>
      </c>
      <c r="Q587" s="89">
        <v>500000</v>
      </c>
      <c r="R587" s="270">
        <v>1</v>
      </c>
      <c r="S587" s="89">
        <v>6000000</v>
      </c>
      <c r="T587" s="268" t="s">
        <v>184</v>
      </c>
      <c r="U587" s="268" t="s">
        <v>190</v>
      </c>
      <c r="V587" s="271">
        <v>43223</v>
      </c>
      <c r="W587" s="268">
        <v>12</v>
      </c>
      <c r="X587" s="267"/>
      <c r="Y587" s="271"/>
      <c r="Z587" s="269"/>
      <c r="AA587" s="268"/>
      <c r="AB587" s="267"/>
      <c r="AC587" s="268"/>
      <c r="AD587" s="268"/>
      <c r="AE587" s="272">
        <f t="shared" si="66"/>
        <v>6000000</v>
      </c>
      <c r="AF587" s="295"/>
      <c r="AG587" s="295"/>
      <c r="AH587" s="295"/>
      <c r="AI587" s="89"/>
      <c r="AJ587" s="295"/>
      <c r="AK587" s="295"/>
      <c r="AL587" s="295"/>
      <c r="AM587" s="89"/>
      <c r="AN587" s="295"/>
      <c r="AO587" s="268" t="s">
        <v>65</v>
      </c>
      <c r="AP587" s="273">
        <f t="shared" si="65"/>
        <v>6000000</v>
      </c>
      <c r="AQ587" s="268"/>
      <c r="AR587" s="271"/>
      <c r="AS587" s="268"/>
      <c r="AT587" s="271"/>
      <c r="AU587" s="268"/>
    </row>
    <row r="588" spans="1:47" ht="76.5" x14ac:dyDescent="0.25">
      <c r="A588" s="267">
        <v>56</v>
      </c>
      <c r="B588" s="267" t="s">
        <v>252</v>
      </c>
      <c r="C588" s="284" t="s">
        <v>50</v>
      </c>
      <c r="D588" s="284" t="s">
        <v>51</v>
      </c>
      <c r="E588" s="284" t="s">
        <v>89</v>
      </c>
      <c r="F588" s="285" t="s">
        <v>253</v>
      </c>
      <c r="G588" s="285" t="s">
        <v>254</v>
      </c>
      <c r="H588" s="284" t="s">
        <v>255</v>
      </c>
      <c r="I588" s="268" t="s">
        <v>56</v>
      </c>
      <c r="J588" s="268" t="s">
        <v>57</v>
      </c>
      <c r="K588" s="268">
        <v>70111700</v>
      </c>
      <c r="L588" s="268" t="s">
        <v>58</v>
      </c>
      <c r="M588" s="268" t="s">
        <v>59</v>
      </c>
      <c r="N588" s="268" t="s">
        <v>60</v>
      </c>
      <c r="O588" s="268" t="s">
        <v>61</v>
      </c>
      <c r="P588" s="268" t="s">
        <v>256</v>
      </c>
      <c r="Q588" s="89">
        <v>340166.66666666669</v>
      </c>
      <c r="R588" s="270">
        <v>1</v>
      </c>
      <c r="S588" s="89">
        <v>4082000</v>
      </c>
      <c r="T588" s="268" t="s">
        <v>184</v>
      </c>
      <c r="U588" s="268" t="s">
        <v>190</v>
      </c>
      <c r="V588" s="271">
        <v>43258</v>
      </c>
      <c r="W588" s="268">
        <v>12</v>
      </c>
      <c r="X588" s="267"/>
      <c r="Y588" s="271"/>
      <c r="Z588" s="269"/>
      <c r="AA588" s="268"/>
      <c r="AB588" s="267"/>
      <c r="AC588" s="268"/>
      <c r="AD588" s="268"/>
      <c r="AE588" s="272">
        <f t="shared" si="66"/>
        <v>4082000</v>
      </c>
      <c r="AF588" s="295"/>
      <c r="AG588" s="295"/>
      <c r="AH588" s="295"/>
      <c r="AI588" s="89"/>
      <c r="AJ588" s="295"/>
      <c r="AK588" s="295"/>
      <c r="AL588" s="295"/>
      <c r="AM588" s="89"/>
      <c r="AN588" s="295"/>
      <c r="AO588" s="268" t="s">
        <v>65</v>
      </c>
      <c r="AP588" s="273">
        <f t="shared" si="65"/>
        <v>4082000</v>
      </c>
      <c r="AQ588" s="268"/>
      <c r="AR588" s="271"/>
      <c r="AS588" s="268"/>
      <c r="AT588" s="271"/>
      <c r="AU588" s="268"/>
    </row>
    <row r="589" spans="1:47" ht="76.5" x14ac:dyDescent="0.25">
      <c r="A589" s="267">
        <v>57</v>
      </c>
      <c r="B589" s="267" t="s">
        <v>257</v>
      </c>
      <c r="C589" s="284" t="s">
        <v>50</v>
      </c>
      <c r="D589" s="284" t="s">
        <v>51</v>
      </c>
      <c r="E589" s="284" t="s">
        <v>89</v>
      </c>
      <c r="F589" s="285" t="s">
        <v>186</v>
      </c>
      <c r="G589" s="285" t="s">
        <v>187</v>
      </c>
      <c r="H589" s="284" t="s">
        <v>219</v>
      </c>
      <c r="I589" s="268" t="s">
        <v>56</v>
      </c>
      <c r="J589" s="268" t="s">
        <v>57</v>
      </c>
      <c r="K589" s="268">
        <v>78111800</v>
      </c>
      <c r="L589" s="268" t="s">
        <v>58</v>
      </c>
      <c r="M589" s="268" t="s">
        <v>59</v>
      </c>
      <c r="N589" s="268" t="s">
        <v>60</v>
      </c>
      <c r="O589" s="268" t="s">
        <v>61</v>
      </c>
      <c r="P589" s="268" t="s">
        <v>258</v>
      </c>
      <c r="Q589" s="89">
        <v>25000000</v>
      </c>
      <c r="R589" s="270">
        <v>1</v>
      </c>
      <c r="S589" s="89">
        <v>25000000</v>
      </c>
      <c r="T589" s="268" t="s">
        <v>184</v>
      </c>
      <c r="U589" s="268" t="s">
        <v>259</v>
      </c>
      <c r="V589" s="271">
        <v>42744</v>
      </c>
      <c r="W589" s="268">
        <v>1</v>
      </c>
      <c r="X589" s="267" t="s">
        <v>1845</v>
      </c>
      <c r="Y589" s="271">
        <v>43112</v>
      </c>
      <c r="Z589" s="269">
        <v>25000000</v>
      </c>
      <c r="AA589" s="268" t="s">
        <v>260</v>
      </c>
      <c r="AB589" s="293">
        <v>495</v>
      </c>
      <c r="AC589" s="6" t="s">
        <v>1423</v>
      </c>
      <c r="AD589" s="272">
        <v>25000000</v>
      </c>
      <c r="AE589" s="272">
        <f t="shared" si="66"/>
        <v>0</v>
      </c>
      <c r="AF589" s="293">
        <v>495</v>
      </c>
      <c r="AG589" s="293">
        <v>527</v>
      </c>
      <c r="AH589" s="294">
        <v>43132</v>
      </c>
      <c r="AI589" s="89">
        <v>25000000</v>
      </c>
      <c r="AJ589" s="295" t="s">
        <v>1846</v>
      </c>
      <c r="AK589" s="296">
        <v>659</v>
      </c>
      <c r="AL589" s="6"/>
      <c r="AM589" s="89">
        <v>8237040</v>
      </c>
      <c r="AN589" s="297">
        <v>16762960</v>
      </c>
      <c r="AO589" s="268" t="s">
        <v>65</v>
      </c>
      <c r="AP589" s="273">
        <f t="shared" si="65"/>
        <v>0</v>
      </c>
      <c r="AQ589" s="268"/>
      <c r="AR589" s="271"/>
      <c r="AS589" s="268"/>
      <c r="AT589" s="271"/>
      <c r="AU589" s="268"/>
    </row>
    <row r="590" spans="1:47" ht="76.5" x14ac:dyDescent="0.25">
      <c r="A590" s="267">
        <v>58</v>
      </c>
      <c r="B590" s="267" t="s">
        <v>261</v>
      </c>
      <c r="C590" s="284" t="s">
        <v>50</v>
      </c>
      <c r="D590" s="284" t="s">
        <v>51</v>
      </c>
      <c r="E590" s="284" t="s">
        <v>89</v>
      </c>
      <c r="F590" s="285" t="s">
        <v>53</v>
      </c>
      <c r="G590" s="285" t="s">
        <v>54</v>
      </c>
      <c r="H590" s="284" t="s">
        <v>55</v>
      </c>
      <c r="I590" s="268" t="s">
        <v>56</v>
      </c>
      <c r="J590" s="268" t="s">
        <v>57</v>
      </c>
      <c r="K590" s="268">
        <v>80111600</v>
      </c>
      <c r="L590" s="268" t="s">
        <v>58</v>
      </c>
      <c r="M590" s="268" t="s">
        <v>59</v>
      </c>
      <c r="N590" s="268" t="s">
        <v>60</v>
      </c>
      <c r="O590" s="268" t="s">
        <v>61</v>
      </c>
      <c r="P590" s="268" t="s">
        <v>331</v>
      </c>
      <c r="Q590" s="89">
        <v>57500000</v>
      </c>
      <c r="R590" s="270">
        <v>1</v>
      </c>
      <c r="S590" s="89">
        <v>57500000</v>
      </c>
      <c r="T590" s="268" t="s">
        <v>67</v>
      </c>
      <c r="U590" s="268" t="s">
        <v>68</v>
      </c>
      <c r="V590" s="271">
        <v>42752</v>
      </c>
      <c r="W590" s="268">
        <v>11.5</v>
      </c>
      <c r="X590" s="267" t="s">
        <v>262</v>
      </c>
      <c r="Y590" s="271">
        <v>43117</v>
      </c>
      <c r="Z590" s="269">
        <v>57500000</v>
      </c>
      <c r="AA590" s="268" t="s">
        <v>263</v>
      </c>
      <c r="AB590" s="293">
        <v>519</v>
      </c>
      <c r="AC590" s="6" t="s">
        <v>1418</v>
      </c>
      <c r="AD590" s="272">
        <v>57500000</v>
      </c>
      <c r="AE590" s="272">
        <f t="shared" si="66"/>
        <v>0</v>
      </c>
      <c r="AF590" s="293">
        <v>519</v>
      </c>
      <c r="AG590" s="293">
        <v>331</v>
      </c>
      <c r="AH590" s="294">
        <v>43123</v>
      </c>
      <c r="AI590" s="89">
        <v>57500000</v>
      </c>
      <c r="AJ590" s="295" t="s">
        <v>333</v>
      </c>
      <c r="AK590" s="296">
        <v>282</v>
      </c>
      <c r="AL590" s="6"/>
      <c r="AM590" s="89">
        <v>10166666</v>
      </c>
      <c r="AN590" s="297">
        <v>47333334</v>
      </c>
      <c r="AO590" s="268" t="s">
        <v>140</v>
      </c>
      <c r="AP590" s="273">
        <f t="shared" si="65"/>
        <v>0</v>
      </c>
      <c r="AQ590" s="268" t="s">
        <v>71</v>
      </c>
      <c r="AR590" s="271"/>
      <c r="AS590" s="268"/>
      <c r="AT590" s="271"/>
      <c r="AU590" s="268"/>
    </row>
    <row r="591" spans="1:47" ht="76.5" x14ac:dyDescent="0.25">
      <c r="A591" s="267">
        <v>59</v>
      </c>
      <c r="B591" s="267" t="s">
        <v>264</v>
      </c>
      <c r="C591" s="284" t="s">
        <v>50</v>
      </c>
      <c r="D591" s="284" t="s">
        <v>51</v>
      </c>
      <c r="E591" s="284" t="s">
        <v>89</v>
      </c>
      <c r="F591" s="285" t="s">
        <v>53</v>
      </c>
      <c r="G591" s="285" t="s">
        <v>54</v>
      </c>
      <c r="H591" s="284" t="s">
        <v>55</v>
      </c>
      <c r="I591" s="268" t="s">
        <v>56</v>
      </c>
      <c r="J591" s="268" t="s">
        <v>57</v>
      </c>
      <c r="K591" s="268">
        <v>80111600</v>
      </c>
      <c r="L591" s="268" t="s">
        <v>58</v>
      </c>
      <c r="M591" s="268" t="s">
        <v>59</v>
      </c>
      <c r="N591" s="268" t="s">
        <v>60</v>
      </c>
      <c r="O591" s="268" t="s">
        <v>61</v>
      </c>
      <c r="P591" s="268" t="s">
        <v>1847</v>
      </c>
      <c r="Q591" s="89">
        <v>20136500</v>
      </c>
      <c r="R591" s="270">
        <v>1</v>
      </c>
      <c r="S591" s="89">
        <v>20136500</v>
      </c>
      <c r="T591" s="268" t="s">
        <v>265</v>
      </c>
      <c r="U591" s="268" t="s">
        <v>68</v>
      </c>
      <c r="V591" s="271">
        <v>43112</v>
      </c>
      <c r="W591" s="268">
        <v>11.5</v>
      </c>
      <c r="X591" s="274" t="s">
        <v>1782</v>
      </c>
      <c r="Y591" s="271">
        <v>42752</v>
      </c>
      <c r="Z591" s="269">
        <v>20136500</v>
      </c>
      <c r="AA591" s="268" t="s">
        <v>263</v>
      </c>
      <c r="AB591" s="293">
        <v>526</v>
      </c>
      <c r="AC591" s="6" t="s">
        <v>1418</v>
      </c>
      <c r="AD591" s="272">
        <v>17252500</v>
      </c>
      <c r="AE591" s="272">
        <f t="shared" si="66"/>
        <v>2884000</v>
      </c>
      <c r="AF591" s="293">
        <v>526</v>
      </c>
      <c r="AG591" s="293">
        <v>406</v>
      </c>
      <c r="AH591" s="294">
        <v>43124</v>
      </c>
      <c r="AI591" s="89">
        <v>17252500</v>
      </c>
      <c r="AJ591" s="295" t="s">
        <v>1848</v>
      </c>
      <c r="AK591" s="296">
        <v>290</v>
      </c>
      <c r="AL591" s="6"/>
      <c r="AM591" s="89">
        <v>3450500</v>
      </c>
      <c r="AN591" s="297">
        <v>13802000</v>
      </c>
      <c r="AO591" s="268" t="s">
        <v>140</v>
      </c>
      <c r="AP591" s="273">
        <f t="shared" si="65"/>
        <v>2884000</v>
      </c>
      <c r="AQ591" s="268" t="s">
        <v>71</v>
      </c>
      <c r="AR591" s="271"/>
      <c r="AS591" s="268"/>
      <c r="AT591" s="271"/>
      <c r="AU591" s="268"/>
    </row>
    <row r="592" spans="1:47" ht="89.25" x14ac:dyDescent="0.25">
      <c r="A592" s="267">
        <v>60</v>
      </c>
      <c r="B592" s="267" t="s">
        <v>266</v>
      </c>
      <c r="C592" s="284" t="s">
        <v>50</v>
      </c>
      <c r="D592" s="284" t="s">
        <v>51</v>
      </c>
      <c r="E592" s="284" t="s">
        <v>89</v>
      </c>
      <c r="F592" s="285" t="s">
        <v>186</v>
      </c>
      <c r="G592" s="285" t="s">
        <v>230</v>
      </c>
      <c r="H592" s="284" t="s">
        <v>235</v>
      </c>
      <c r="I592" s="268" t="s">
        <v>56</v>
      </c>
      <c r="J592" s="268" t="s">
        <v>57</v>
      </c>
      <c r="K592" s="268">
        <v>84000000</v>
      </c>
      <c r="L592" s="268" t="s">
        <v>58</v>
      </c>
      <c r="M592" s="268" t="s">
        <v>59</v>
      </c>
      <c r="N592" s="268" t="s">
        <v>60</v>
      </c>
      <c r="O592" s="268" t="s">
        <v>61</v>
      </c>
      <c r="P592" s="268" t="s">
        <v>267</v>
      </c>
      <c r="Q592" s="89">
        <v>31143000</v>
      </c>
      <c r="R592" s="270">
        <v>1</v>
      </c>
      <c r="S592" s="89">
        <v>31143000</v>
      </c>
      <c r="T592" s="268" t="s">
        <v>233</v>
      </c>
      <c r="U592" s="268" t="s">
        <v>199</v>
      </c>
      <c r="V592" s="271">
        <v>43174</v>
      </c>
      <c r="W592" s="268">
        <v>10</v>
      </c>
      <c r="X592" s="267" t="s">
        <v>268</v>
      </c>
      <c r="Y592" s="271">
        <v>43175</v>
      </c>
      <c r="Z592" s="269">
        <v>31143000</v>
      </c>
      <c r="AA592" s="268" t="s">
        <v>269</v>
      </c>
      <c r="AB592" s="293">
        <v>749</v>
      </c>
      <c r="AC592" s="283">
        <v>43179</v>
      </c>
      <c r="AD592" s="272">
        <v>31143000</v>
      </c>
      <c r="AE592" s="272">
        <f t="shared" si="66"/>
        <v>0</v>
      </c>
      <c r="AF592" s="293">
        <v>749</v>
      </c>
      <c r="AG592" s="293">
        <v>1656</v>
      </c>
      <c r="AH592" s="294">
        <v>43185</v>
      </c>
      <c r="AI592" s="89">
        <v>31143000</v>
      </c>
      <c r="AJ592" s="295" t="s">
        <v>1849</v>
      </c>
      <c r="AK592" s="296">
        <v>564</v>
      </c>
      <c r="AL592" s="268"/>
      <c r="AM592" s="89">
        <v>11765133</v>
      </c>
      <c r="AN592" s="297">
        <v>19377867</v>
      </c>
      <c r="AO592" s="268" t="s">
        <v>65</v>
      </c>
      <c r="AP592" s="273">
        <f t="shared" si="65"/>
        <v>0</v>
      </c>
      <c r="AQ592" s="268" t="s">
        <v>270</v>
      </c>
      <c r="AR592" s="271"/>
      <c r="AS592" s="268"/>
      <c r="AT592" s="271"/>
      <c r="AU592" s="268"/>
    </row>
    <row r="593" spans="1:47" ht="89.25" x14ac:dyDescent="0.25">
      <c r="A593" s="267">
        <v>61</v>
      </c>
      <c r="B593" s="267" t="s">
        <v>271</v>
      </c>
      <c r="C593" s="284" t="s">
        <v>50</v>
      </c>
      <c r="D593" s="284" t="s">
        <v>51</v>
      </c>
      <c r="E593" s="284" t="s">
        <v>89</v>
      </c>
      <c r="F593" s="285" t="s">
        <v>186</v>
      </c>
      <c r="G593" s="285" t="s">
        <v>230</v>
      </c>
      <c r="H593" s="284" t="s">
        <v>235</v>
      </c>
      <c r="I593" s="268" t="s">
        <v>56</v>
      </c>
      <c r="J593" s="268" t="s">
        <v>57</v>
      </c>
      <c r="K593" s="268">
        <v>84000000</v>
      </c>
      <c r="L593" s="268" t="s">
        <v>58</v>
      </c>
      <c r="M593" s="268" t="s">
        <v>59</v>
      </c>
      <c r="N593" s="268" t="s">
        <v>60</v>
      </c>
      <c r="O593" s="268" t="s">
        <v>61</v>
      </c>
      <c r="P593" s="268" t="s">
        <v>272</v>
      </c>
      <c r="Q593" s="89">
        <v>5165000</v>
      </c>
      <c r="R593" s="270">
        <v>1</v>
      </c>
      <c r="S593" s="89">
        <v>5165000</v>
      </c>
      <c r="T593" s="268" t="s">
        <v>233</v>
      </c>
      <c r="U593" s="268" t="s">
        <v>199</v>
      </c>
      <c r="V593" s="271">
        <v>43174</v>
      </c>
      <c r="W593" s="268">
        <v>10</v>
      </c>
      <c r="X593" s="267" t="s">
        <v>273</v>
      </c>
      <c r="Y593" s="271">
        <v>43175</v>
      </c>
      <c r="Z593" s="269">
        <v>5165000</v>
      </c>
      <c r="AA593" s="268" t="s">
        <v>269</v>
      </c>
      <c r="AB593" s="293">
        <v>748</v>
      </c>
      <c r="AC593" s="283">
        <v>43179</v>
      </c>
      <c r="AD593" s="272">
        <v>5165000</v>
      </c>
      <c r="AE593" s="272">
        <f t="shared" si="66"/>
        <v>0</v>
      </c>
      <c r="AF593" s="293">
        <v>748</v>
      </c>
      <c r="AG593" s="293">
        <v>1755</v>
      </c>
      <c r="AH593" s="294">
        <v>43200</v>
      </c>
      <c r="AI593" s="89">
        <v>5165000</v>
      </c>
      <c r="AJ593" s="295" t="s">
        <v>1850</v>
      </c>
      <c r="AK593" s="296">
        <v>570</v>
      </c>
      <c r="AL593" s="268"/>
      <c r="AM593" s="89" t="s">
        <v>1792</v>
      </c>
      <c r="AN593" s="297">
        <v>5165000</v>
      </c>
      <c r="AO593" s="268" t="s">
        <v>65</v>
      </c>
      <c r="AP593" s="273">
        <f t="shared" si="65"/>
        <v>0</v>
      </c>
      <c r="AQ593" s="268" t="s">
        <v>274</v>
      </c>
      <c r="AR593" s="271"/>
      <c r="AS593" s="268"/>
      <c r="AT593" s="271"/>
      <c r="AU593" s="268"/>
    </row>
    <row r="594" spans="1:47" ht="76.5" x14ac:dyDescent="0.25">
      <c r="A594" s="267">
        <v>62</v>
      </c>
      <c r="B594" s="267" t="s">
        <v>275</v>
      </c>
      <c r="C594" s="284" t="s">
        <v>50</v>
      </c>
      <c r="D594" s="284" t="s">
        <v>51</v>
      </c>
      <c r="E594" s="284" t="s">
        <v>89</v>
      </c>
      <c r="F594" s="285" t="s">
        <v>186</v>
      </c>
      <c r="G594" s="285" t="s">
        <v>187</v>
      </c>
      <c r="H594" s="284" t="s">
        <v>188</v>
      </c>
      <c r="I594" s="268" t="s">
        <v>56</v>
      </c>
      <c r="J594" s="268" t="s">
        <v>57</v>
      </c>
      <c r="K594" s="268">
        <v>82121700</v>
      </c>
      <c r="L594" s="268" t="s">
        <v>58</v>
      </c>
      <c r="M594" s="268" t="s">
        <v>59</v>
      </c>
      <c r="N594" s="268" t="s">
        <v>60</v>
      </c>
      <c r="O594" s="268" t="s">
        <v>61</v>
      </c>
      <c r="P594" s="268" t="s">
        <v>276</v>
      </c>
      <c r="Q594" s="89">
        <v>35000000</v>
      </c>
      <c r="R594" s="270">
        <v>1</v>
      </c>
      <c r="S594" s="89">
        <v>35000000</v>
      </c>
      <c r="T594" s="268" t="s">
        <v>184</v>
      </c>
      <c r="U594" s="268" t="s">
        <v>63</v>
      </c>
      <c r="V594" s="271">
        <v>43179</v>
      </c>
      <c r="W594" s="268">
        <v>2</v>
      </c>
      <c r="X594" s="267" t="s">
        <v>277</v>
      </c>
      <c r="Y594" s="271">
        <v>43179</v>
      </c>
      <c r="Z594" s="269">
        <v>35000000</v>
      </c>
      <c r="AA594" s="268"/>
      <c r="AB594" s="293">
        <v>754</v>
      </c>
      <c r="AC594" s="283">
        <v>43180</v>
      </c>
      <c r="AD594" s="272">
        <v>35000000</v>
      </c>
      <c r="AE594" s="272">
        <f t="shared" si="66"/>
        <v>0</v>
      </c>
      <c r="AF594" s="293">
        <v>754</v>
      </c>
      <c r="AG594" s="293">
        <v>1667</v>
      </c>
      <c r="AH594" s="294">
        <v>43194</v>
      </c>
      <c r="AI594" s="89">
        <v>35000000</v>
      </c>
      <c r="AJ594" s="295" t="s">
        <v>1851</v>
      </c>
      <c r="AK594" s="296">
        <v>421</v>
      </c>
      <c r="AL594" s="268"/>
      <c r="AM594" s="89" t="s">
        <v>1792</v>
      </c>
      <c r="AN594" s="297">
        <v>35000000</v>
      </c>
      <c r="AO594" s="268" t="s">
        <v>65</v>
      </c>
      <c r="AP594" s="273">
        <f t="shared" si="65"/>
        <v>0</v>
      </c>
      <c r="AQ594" s="268" t="s">
        <v>278</v>
      </c>
      <c r="AR594" s="271"/>
      <c r="AS594" s="268"/>
      <c r="AT594" s="271"/>
      <c r="AU594" s="268"/>
    </row>
    <row r="595" spans="1:47" ht="89.25" x14ac:dyDescent="0.25">
      <c r="A595" s="267">
        <v>63</v>
      </c>
      <c r="B595" s="267" t="s">
        <v>279</v>
      </c>
      <c r="C595" s="287" t="s">
        <v>50</v>
      </c>
      <c r="D595" s="287" t="s">
        <v>51</v>
      </c>
      <c r="E595" s="287" t="s">
        <v>89</v>
      </c>
      <c r="F595" s="288" t="s">
        <v>186</v>
      </c>
      <c r="G595" s="288" t="s">
        <v>230</v>
      </c>
      <c r="H595" s="287" t="str">
        <f>'[4]FOR - 047'!$L$32</f>
        <v>0004-Otros Gastos Operativos</v>
      </c>
      <c r="I595" s="268" t="s">
        <v>56</v>
      </c>
      <c r="J595" s="268" t="s">
        <v>57</v>
      </c>
      <c r="K595" s="268">
        <v>84000000</v>
      </c>
      <c r="L595" s="268" t="s">
        <v>58</v>
      </c>
      <c r="M595" s="268" t="s">
        <v>59</v>
      </c>
      <c r="N595" s="268" t="s">
        <v>60</v>
      </c>
      <c r="O595" s="268" t="s">
        <v>61</v>
      </c>
      <c r="P595" s="268" t="s">
        <v>280</v>
      </c>
      <c r="Q595" s="89">
        <v>29500000</v>
      </c>
      <c r="R595" s="270">
        <v>1</v>
      </c>
      <c r="S595" s="89">
        <v>29500000</v>
      </c>
      <c r="T595" s="268" t="s">
        <v>184</v>
      </c>
      <c r="U595" s="268" t="s">
        <v>205</v>
      </c>
      <c r="V595" s="271">
        <v>43202</v>
      </c>
      <c r="W595" s="268">
        <v>9</v>
      </c>
      <c r="X595" s="267" t="s">
        <v>281</v>
      </c>
      <c r="Y595" s="271">
        <v>43202</v>
      </c>
      <c r="Z595" s="269">
        <v>29500000</v>
      </c>
      <c r="AA595" s="268" t="s">
        <v>282</v>
      </c>
      <c r="AB595" s="293">
        <v>792</v>
      </c>
      <c r="AC595" s="283" t="s">
        <v>1838</v>
      </c>
      <c r="AD595" s="272">
        <v>29500000</v>
      </c>
      <c r="AE595" s="272">
        <f t="shared" si="66"/>
        <v>0</v>
      </c>
      <c r="AF595" s="293">
        <v>792</v>
      </c>
      <c r="AG595" s="293"/>
      <c r="AH595" s="293"/>
      <c r="AI595" s="89"/>
      <c r="AJ595" s="295"/>
      <c r="AK595" s="296"/>
      <c r="AL595" s="268"/>
      <c r="AM595" s="89"/>
      <c r="AN595" s="305"/>
      <c r="AO595" s="268" t="s">
        <v>65</v>
      </c>
      <c r="AP595" s="273">
        <f t="shared" si="65"/>
        <v>29500000</v>
      </c>
      <c r="AQ595" s="268" t="s">
        <v>283</v>
      </c>
      <c r="AR595" s="271">
        <v>43203</v>
      </c>
      <c r="AS595" s="268"/>
      <c r="AT595" s="271">
        <v>43203</v>
      </c>
      <c r="AU595" s="268" t="s">
        <v>208</v>
      </c>
    </row>
    <row r="596" spans="1:47" ht="76.5" x14ac:dyDescent="0.25">
      <c r="A596" s="306">
        <v>1</v>
      </c>
      <c r="B596" s="306" t="str">
        <f t="shared" ref="B596:B659" si="67">CONCATENATE("3075","-",A596)</f>
        <v>3075-1</v>
      </c>
      <c r="C596" s="307" t="s">
        <v>1852</v>
      </c>
      <c r="D596" s="308" t="s">
        <v>1853</v>
      </c>
      <c r="E596" s="308" t="s">
        <v>1854</v>
      </c>
      <c r="F596" s="307" t="s">
        <v>1855</v>
      </c>
      <c r="G596" s="309" t="s">
        <v>1856</v>
      </c>
      <c r="H596" s="310" t="s">
        <v>1857</v>
      </c>
      <c r="I596" s="308" t="s">
        <v>1858</v>
      </c>
      <c r="J596" s="308" t="s">
        <v>1859</v>
      </c>
      <c r="K596" s="308">
        <v>821016</v>
      </c>
      <c r="L596" s="306" t="s">
        <v>1860</v>
      </c>
      <c r="M596" s="306" t="s">
        <v>59</v>
      </c>
      <c r="N596" s="306" t="s">
        <v>60</v>
      </c>
      <c r="O596" s="308" t="s">
        <v>1861</v>
      </c>
      <c r="P596" s="308" t="s">
        <v>300</v>
      </c>
      <c r="Q596" s="311">
        <v>10156250</v>
      </c>
      <c r="R596" s="306">
        <v>1</v>
      </c>
      <c r="S596" s="312">
        <v>81250000</v>
      </c>
      <c r="T596" s="306"/>
      <c r="U596" s="306" t="s">
        <v>1862</v>
      </c>
      <c r="V596" s="313" t="s">
        <v>1015</v>
      </c>
      <c r="W596" s="314">
        <v>8</v>
      </c>
      <c r="X596" s="306"/>
      <c r="Y596" s="313"/>
      <c r="Z596" s="315"/>
      <c r="AA596" s="316"/>
      <c r="AB596" s="317"/>
      <c r="AC596" s="313"/>
      <c r="AD596" s="312"/>
      <c r="AE596" s="318">
        <f t="shared" ref="AE596:AE659" si="68">S596-Z596</f>
        <v>81250000</v>
      </c>
      <c r="AF596" s="317"/>
      <c r="AG596" s="313"/>
      <c r="AH596" s="312"/>
      <c r="AI596" s="306"/>
      <c r="AJ596" s="306"/>
      <c r="AK596" s="318">
        <f>AD596-AH596</f>
        <v>0</v>
      </c>
      <c r="AL596" s="312">
        <v>0</v>
      </c>
      <c r="AM596" s="312">
        <f t="shared" ref="AM596:AM659" si="69">AH596-AL596</f>
        <v>0</v>
      </c>
      <c r="AN596" s="306" t="s">
        <v>1863</v>
      </c>
      <c r="AO596" s="312">
        <f t="shared" ref="AO596:AO659" si="70">S596-AH596</f>
        <v>81250000</v>
      </c>
      <c r="AP596" s="306"/>
      <c r="AQ596" s="306"/>
      <c r="AR596" s="306"/>
      <c r="AS596" s="306"/>
      <c r="AT596" s="306"/>
    </row>
    <row r="597" spans="1:47" ht="76.5" x14ac:dyDescent="0.25">
      <c r="A597" s="306">
        <v>2</v>
      </c>
      <c r="B597" s="306" t="str">
        <f t="shared" si="67"/>
        <v>3075-2</v>
      </c>
      <c r="C597" s="307" t="s">
        <v>1852</v>
      </c>
      <c r="D597" s="308" t="s">
        <v>1853</v>
      </c>
      <c r="E597" s="308" t="s">
        <v>1854</v>
      </c>
      <c r="F597" s="307" t="s">
        <v>1855</v>
      </c>
      <c r="G597" s="309" t="s">
        <v>1856</v>
      </c>
      <c r="H597" s="310" t="s">
        <v>1857</v>
      </c>
      <c r="I597" s="308" t="s">
        <v>1858</v>
      </c>
      <c r="J597" s="308" t="s">
        <v>1859</v>
      </c>
      <c r="K597" s="308">
        <v>821016</v>
      </c>
      <c r="L597" s="306" t="s">
        <v>1860</v>
      </c>
      <c r="M597" s="306" t="s">
        <v>59</v>
      </c>
      <c r="N597" s="306" t="s">
        <v>60</v>
      </c>
      <c r="O597" s="308" t="s">
        <v>1861</v>
      </c>
      <c r="P597" s="308" t="s">
        <v>303</v>
      </c>
      <c r="Q597" s="311">
        <v>20312500</v>
      </c>
      <c r="R597" s="306">
        <v>1</v>
      </c>
      <c r="S597" s="312">
        <v>81250000</v>
      </c>
      <c r="T597" s="306"/>
      <c r="U597" s="306" t="s">
        <v>1862</v>
      </c>
      <c r="V597" s="313" t="s">
        <v>943</v>
      </c>
      <c r="W597" s="314">
        <v>4</v>
      </c>
      <c r="X597" s="306"/>
      <c r="Y597" s="313"/>
      <c r="Z597" s="315"/>
      <c r="AA597" s="316"/>
      <c r="AB597" s="317"/>
      <c r="AC597" s="313"/>
      <c r="AD597" s="312"/>
      <c r="AE597" s="318">
        <f t="shared" si="68"/>
        <v>81250000</v>
      </c>
      <c r="AF597" s="317"/>
      <c r="AG597" s="313"/>
      <c r="AH597" s="312"/>
      <c r="AI597" s="306"/>
      <c r="AJ597" s="306"/>
      <c r="AK597" s="318">
        <f t="shared" ref="AK597:AK660" si="71">AD597-AH597</f>
        <v>0</v>
      </c>
      <c r="AL597" s="312">
        <v>0</v>
      </c>
      <c r="AM597" s="312">
        <f t="shared" si="69"/>
        <v>0</v>
      </c>
      <c r="AN597" s="306" t="s">
        <v>1863</v>
      </c>
      <c r="AO597" s="312">
        <f t="shared" si="70"/>
        <v>81250000</v>
      </c>
      <c r="AP597" s="306"/>
      <c r="AQ597" s="306"/>
      <c r="AR597" s="306"/>
      <c r="AS597" s="306"/>
      <c r="AT597" s="306"/>
    </row>
    <row r="598" spans="1:47" ht="63.75" x14ac:dyDescent="0.25">
      <c r="A598" s="306">
        <v>3</v>
      </c>
      <c r="B598" s="306" t="str">
        <f t="shared" si="67"/>
        <v>3075-3</v>
      </c>
      <c r="C598" s="308" t="s">
        <v>1852</v>
      </c>
      <c r="D598" s="308" t="s">
        <v>1853</v>
      </c>
      <c r="E598" s="308" t="s">
        <v>1854</v>
      </c>
      <c r="F598" s="308" t="s">
        <v>1864</v>
      </c>
      <c r="G598" s="319" t="s">
        <v>1865</v>
      </c>
      <c r="H598" s="310" t="s">
        <v>1866</v>
      </c>
      <c r="I598" s="308" t="s">
        <v>1858</v>
      </c>
      <c r="J598" s="308" t="s">
        <v>1859</v>
      </c>
      <c r="K598" s="308" t="s">
        <v>1867</v>
      </c>
      <c r="L598" s="306" t="s">
        <v>1860</v>
      </c>
      <c r="M598" s="306" t="s">
        <v>59</v>
      </c>
      <c r="N598" s="306" t="s">
        <v>60</v>
      </c>
      <c r="O598" s="306" t="s">
        <v>1868</v>
      </c>
      <c r="P598" s="308" t="s">
        <v>1869</v>
      </c>
      <c r="Q598" s="311">
        <v>185714285.7142857</v>
      </c>
      <c r="R598" s="306">
        <v>1</v>
      </c>
      <c r="S598" s="312">
        <v>1300000000</v>
      </c>
      <c r="T598" s="306"/>
      <c r="U598" s="306" t="s">
        <v>1862</v>
      </c>
      <c r="V598" s="320" t="s">
        <v>302</v>
      </c>
      <c r="W598" s="314">
        <v>7</v>
      </c>
      <c r="X598" s="306"/>
      <c r="Y598" s="321"/>
      <c r="Z598" s="315"/>
      <c r="AA598" s="316"/>
      <c r="AB598" s="317"/>
      <c r="AC598" s="313"/>
      <c r="AD598" s="312"/>
      <c r="AE598" s="318">
        <f t="shared" si="68"/>
        <v>1300000000</v>
      </c>
      <c r="AF598" s="317"/>
      <c r="AG598" s="313"/>
      <c r="AH598" s="312"/>
      <c r="AI598" s="306"/>
      <c r="AJ598" s="306"/>
      <c r="AK598" s="318">
        <f t="shared" si="71"/>
        <v>0</v>
      </c>
      <c r="AL598" s="312">
        <v>0</v>
      </c>
      <c r="AM598" s="312">
        <f t="shared" si="69"/>
        <v>0</v>
      </c>
      <c r="AN598" s="306" t="s">
        <v>1863</v>
      </c>
      <c r="AO598" s="312">
        <f t="shared" si="70"/>
        <v>1300000000</v>
      </c>
      <c r="AP598" s="306"/>
      <c r="AQ598" s="306"/>
      <c r="AR598" s="306"/>
      <c r="AS598" s="306"/>
      <c r="AT598" s="306"/>
    </row>
    <row r="599" spans="1:47" ht="63.75" x14ac:dyDescent="0.25">
      <c r="A599" s="306">
        <v>4</v>
      </c>
      <c r="B599" s="306" t="str">
        <f t="shared" si="67"/>
        <v>3075-4</v>
      </c>
      <c r="C599" s="307" t="s">
        <v>1852</v>
      </c>
      <c r="D599" s="308" t="s">
        <v>1853</v>
      </c>
      <c r="E599" s="307" t="s">
        <v>1870</v>
      </c>
      <c r="F599" s="307" t="s">
        <v>1871</v>
      </c>
      <c r="G599" s="309" t="s">
        <v>1872</v>
      </c>
      <c r="H599" s="310" t="s">
        <v>1873</v>
      </c>
      <c r="I599" s="308" t="s">
        <v>1858</v>
      </c>
      <c r="J599" s="308" t="s">
        <v>1859</v>
      </c>
      <c r="K599" s="308" t="s">
        <v>63</v>
      </c>
      <c r="L599" s="306" t="s">
        <v>1860</v>
      </c>
      <c r="M599" s="306" t="s">
        <v>59</v>
      </c>
      <c r="N599" s="306" t="s">
        <v>60</v>
      </c>
      <c r="O599" s="308" t="s">
        <v>1874</v>
      </c>
      <c r="P599" s="322" t="s">
        <v>1875</v>
      </c>
      <c r="Q599" s="311">
        <v>6017434.7999999998</v>
      </c>
      <c r="R599" s="306">
        <v>30</v>
      </c>
      <c r="S599" s="312">
        <f>180523044-4536000-95276430-7733250-7392000-22194000-12438274</f>
        <v>30953090</v>
      </c>
      <c r="T599" s="306"/>
      <c r="U599" s="306" t="s">
        <v>1876</v>
      </c>
      <c r="V599" s="320" t="s">
        <v>302</v>
      </c>
      <c r="W599" s="314" t="s">
        <v>63</v>
      </c>
      <c r="X599" s="323" t="s">
        <v>1877</v>
      </c>
      <c r="Y599" s="321">
        <v>43209</v>
      </c>
      <c r="Z599" s="315">
        <v>30953090</v>
      </c>
      <c r="AA599" s="316" t="s">
        <v>63</v>
      </c>
      <c r="AB599" s="317">
        <v>802</v>
      </c>
      <c r="AC599" s="313">
        <v>43210</v>
      </c>
      <c r="AD599" s="312">
        <v>30953090</v>
      </c>
      <c r="AE599" s="318">
        <f t="shared" si="68"/>
        <v>0</v>
      </c>
      <c r="AF599" s="317"/>
      <c r="AG599" s="313"/>
      <c r="AH599" s="312"/>
      <c r="AI599" s="306"/>
      <c r="AJ599" s="306"/>
      <c r="AK599" s="318">
        <f t="shared" si="71"/>
        <v>30953090</v>
      </c>
      <c r="AL599" s="312">
        <v>0</v>
      </c>
      <c r="AM599" s="312">
        <f t="shared" si="69"/>
        <v>0</v>
      </c>
      <c r="AN599" s="306" t="s">
        <v>1863</v>
      </c>
      <c r="AO599" s="312">
        <f t="shared" si="70"/>
        <v>30953090</v>
      </c>
      <c r="AP599" s="306"/>
      <c r="AQ599" s="313">
        <v>43209</v>
      </c>
      <c r="AR599" s="306" t="s">
        <v>1878</v>
      </c>
      <c r="AS599" s="313">
        <v>43209</v>
      </c>
      <c r="AT599" s="306"/>
    </row>
    <row r="600" spans="1:47" ht="63.75" x14ac:dyDescent="0.25">
      <c r="A600" s="306">
        <v>5</v>
      </c>
      <c r="B600" s="306" t="str">
        <f t="shared" si="67"/>
        <v>3075-5</v>
      </c>
      <c r="C600" s="307" t="s">
        <v>1852</v>
      </c>
      <c r="D600" s="308" t="s">
        <v>1853</v>
      </c>
      <c r="E600" s="308" t="s">
        <v>1879</v>
      </c>
      <c r="F600" s="307" t="s">
        <v>1880</v>
      </c>
      <c r="G600" s="309" t="s">
        <v>1881</v>
      </c>
      <c r="H600" s="310" t="s">
        <v>1882</v>
      </c>
      <c r="I600" s="308" t="s">
        <v>1858</v>
      </c>
      <c r="J600" s="308" t="s">
        <v>1883</v>
      </c>
      <c r="K600" s="308" t="s">
        <v>63</v>
      </c>
      <c r="L600" s="306" t="s">
        <v>1860</v>
      </c>
      <c r="M600" s="306" t="s">
        <v>59</v>
      </c>
      <c r="N600" s="306" t="s">
        <v>60</v>
      </c>
      <c r="O600" s="308" t="s">
        <v>1874</v>
      </c>
      <c r="P600" s="308" t="s">
        <v>1884</v>
      </c>
      <c r="Q600" s="311">
        <v>4766856.1818181816</v>
      </c>
      <c r="R600" s="306">
        <v>11</v>
      </c>
      <c r="S600" s="312">
        <f>52435418-8741700-480610-4151008</f>
        <v>39062100</v>
      </c>
      <c r="T600" s="306"/>
      <c r="U600" s="306" t="s">
        <v>1876</v>
      </c>
      <c r="V600" s="313" t="s">
        <v>302</v>
      </c>
      <c r="W600" s="314" t="s">
        <v>63</v>
      </c>
      <c r="X600" s="323" t="s">
        <v>1885</v>
      </c>
      <c r="Y600" s="321" t="s">
        <v>1886</v>
      </c>
      <c r="Z600" s="315">
        <v>39062100</v>
      </c>
      <c r="AA600" s="316" t="s">
        <v>63</v>
      </c>
      <c r="AB600" s="317">
        <v>760</v>
      </c>
      <c r="AC600" s="313">
        <v>43182</v>
      </c>
      <c r="AD600" s="312">
        <v>39062100</v>
      </c>
      <c r="AE600" s="318">
        <f t="shared" si="68"/>
        <v>0</v>
      </c>
      <c r="AF600" s="317">
        <v>1793</v>
      </c>
      <c r="AG600" s="313">
        <v>43203</v>
      </c>
      <c r="AH600" s="312">
        <v>39062100</v>
      </c>
      <c r="AI600" s="306" t="s">
        <v>1887</v>
      </c>
      <c r="AJ600" s="314">
        <v>1863</v>
      </c>
      <c r="AK600" s="318">
        <f t="shared" si="71"/>
        <v>0</v>
      </c>
      <c r="AL600" s="312">
        <f>VLOOKUP(AB600,RP,13,FALSE)</f>
        <v>0</v>
      </c>
      <c r="AM600" s="312">
        <f t="shared" si="69"/>
        <v>39062100</v>
      </c>
      <c r="AN600" s="306" t="s">
        <v>1863</v>
      </c>
      <c r="AO600" s="312">
        <f t="shared" si="70"/>
        <v>0</v>
      </c>
      <c r="AP600" s="306"/>
      <c r="AQ600" s="313">
        <v>43179</v>
      </c>
      <c r="AR600" s="306" t="s">
        <v>1878</v>
      </c>
      <c r="AS600" s="313">
        <v>43180</v>
      </c>
      <c r="AT600" s="306"/>
    </row>
    <row r="601" spans="1:47" ht="63.75" x14ac:dyDescent="0.25">
      <c r="A601" s="306">
        <v>6</v>
      </c>
      <c r="B601" s="306" t="str">
        <f t="shared" si="67"/>
        <v>3075-6</v>
      </c>
      <c r="C601" s="307" t="s">
        <v>1852</v>
      </c>
      <c r="D601" s="308" t="s">
        <v>1853</v>
      </c>
      <c r="E601" s="308" t="s">
        <v>1879</v>
      </c>
      <c r="F601" s="307" t="s">
        <v>1880</v>
      </c>
      <c r="G601" s="309" t="s">
        <v>1881</v>
      </c>
      <c r="H601" s="310" t="s">
        <v>1882</v>
      </c>
      <c r="I601" s="308" t="s">
        <v>1858</v>
      </c>
      <c r="J601" s="308" t="s">
        <v>1888</v>
      </c>
      <c r="K601" s="308" t="s">
        <v>63</v>
      </c>
      <c r="L601" s="306" t="s">
        <v>1860</v>
      </c>
      <c r="M601" s="306" t="s">
        <v>59</v>
      </c>
      <c r="N601" s="306" t="s">
        <v>60</v>
      </c>
      <c r="O601" s="308" t="s">
        <v>1874</v>
      </c>
      <c r="P601" s="308" t="s">
        <v>1889</v>
      </c>
      <c r="Q601" s="311">
        <v>59747265.486725666</v>
      </c>
      <c r="R601" s="306">
        <v>113</v>
      </c>
      <c r="S601" s="312">
        <f>322658000-138036400-39062100-35479385-(39062100*2)+7106185</f>
        <v>39062100</v>
      </c>
      <c r="T601" s="306"/>
      <c r="U601" s="306" t="s">
        <v>1876</v>
      </c>
      <c r="V601" s="313" t="s">
        <v>302</v>
      </c>
      <c r="W601" s="314" t="s">
        <v>63</v>
      </c>
      <c r="X601" s="306" t="s">
        <v>1890</v>
      </c>
      <c r="Y601" s="321">
        <v>43195</v>
      </c>
      <c r="Z601" s="315">
        <v>39062100</v>
      </c>
      <c r="AA601" s="316" t="s">
        <v>1891</v>
      </c>
      <c r="AB601" s="317">
        <v>773</v>
      </c>
      <c r="AC601" s="313">
        <v>43201</v>
      </c>
      <c r="AD601" s="312">
        <v>39062100</v>
      </c>
      <c r="AE601" s="318">
        <f t="shared" si="68"/>
        <v>0</v>
      </c>
      <c r="AF601" s="317">
        <v>1844</v>
      </c>
      <c r="AG601" s="313">
        <v>43216</v>
      </c>
      <c r="AH601" s="312">
        <v>39062100</v>
      </c>
      <c r="AI601" s="306" t="s">
        <v>1892</v>
      </c>
      <c r="AJ601" s="314">
        <v>1934</v>
      </c>
      <c r="AK601" s="318">
        <f t="shared" si="71"/>
        <v>0</v>
      </c>
      <c r="AL601" s="312">
        <f>VLOOKUP(AB601,RP,13,FALSE)</f>
        <v>0</v>
      </c>
      <c r="AM601" s="312">
        <f t="shared" si="69"/>
        <v>39062100</v>
      </c>
      <c r="AN601" s="306" t="s">
        <v>1863</v>
      </c>
      <c r="AO601" s="312">
        <f t="shared" si="70"/>
        <v>0</v>
      </c>
      <c r="AP601" s="306"/>
      <c r="AQ601" s="313">
        <v>43195</v>
      </c>
      <c r="AR601" s="306" t="s">
        <v>1878</v>
      </c>
      <c r="AS601" s="313">
        <v>43195</v>
      </c>
      <c r="AT601" s="306"/>
    </row>
    <row r="602" spans="1:47" ht="76.5" x14ac:dyDescent="0.25">
      <c r="A602" s="306">
        <v>7</v>
      </c>
      <c r="B602" s="306" t="str">
        <f t="shared" si="67"/>
        <v>3075-7</v>
      </c>
      <c r="C602" s="307" t="s">
        <v>1852</v>
      </c>
      <c r="D602" s="308" t="s">
        <v>1853</v>
      </c>
      <c r="E602" s="308" t="s">
        <v>1879</v>
      </c>
      <c r="F602" s="307" t="s">
        <v>1880</v>
      </c>
      <c r="G602" s="309" t="s">
        <v>1881</v>
      </c>
      <c r="H602" s="310" t="s">
        <v>1882</v>
      </c>
      <c r="I602" s="308" t="s">
        <v>1858</v>
      </c>
      <c r="J602" s="308" t="s">
        <v>1859</v>
      </c>
      <c r="K602" s="308" t="s">
        <v>63</v>
      </c>
      <c r="L602" s="306" t="s">
        <v>1860</v>
      </c>
      <c r="M602" s="306" t="s">
        <v>59</v>
      </c>
      <c r="N602" s="306" t="s">
        <v>60</v>
      </c>
      <c r="O602" s="308" t="s">
        <v>1874</v>
      </c>
      <c r="P602" s="308" t="s">
        <v>1893</v>
      </c>
      <c r="Q602" s="311">
        <v>507680.3046357616</v>
      </c>
      <c r="R602" s="306">
        <v>151</v>
      </c>
      <c r="S602" s="312">
        <f>76659726+29475000</f>
        <v>106134726</v>
      </c>
      <c r="T602" s="306"/>
      <c r="U602" s="306" t="s">
        <v>1876</v>
      </c>
      <c r="V602" s="313" t="s">
        <v>943</v>
      </c>
      <c r="W602" s="314" t="s">
        <v>63</v>
      </c>
      <c r="X602" s="306"/>
      <c r="Y602" s="313"/>
      <c r="Z602" s="315"/>
      <c r="AA602" s="316"/>
      <c r="AB602" s="317"/>
      <c r="AC602" s="313"/>
      <c r="AD602" s="312"/>
      <c r="AE602" s="318">
        <f t="shared" si="68"/>
        <v>106134726</v>
      </c>
      <c r="AF602" s="317"/>
      <c r="AG602" s="313"/>
      <c r="AH602" s="312"/>
      <c r="AI602" s="306"/>
      <c r="AJ602" s="306"/>
      <c r="AK602" s="318">
        <f t="shared" si="71"/>
        <v>0</v>
      </c>
      <c r="AL602" s="312">
        <v>0</v>
      </c>
      <c r="AM602" s="312">
        <f t="shared" si="69"/>
        <v>0</v>
      </c>
      <c r="AN602" s="306" t="s">
        <v>1863</v>
      </c>
      <c r="AO602" s="312">
        <f t="shared" si="70"/>
        <v>106134726</v>
      </c>
      <c r="AP602" s="306" t="s">
        <v>1894</v>
      </c>
      <c r="AQ602" s="306"/>
      <c r="AR602" s="306"/>
      <c r="AS602" s="306"/>
      <c r="AT602" s="306"/>
    </row>
    <row r="603" spans="1:47" ht="63.75" x14ac:dyDescent="0.25">
      <c r="A603" s="306">
        <v>8</v>
      </c>
      <c r="B603" s="306" t="str">
        <f t="shared" si="67"/>
        <v>3075-8</v>
      </c>
      <c r="C603" s="307" t="s">
        <v>1852</v>
      </c>
      <c r="D603" s="308" t="s">
        <v>1853</v>
      </c>
      <c r="E603" s="308" t="s">
        <v>1879</v>
      </c>
      <c r="F603" s="307" t="s">
        <v>1880</v>
      </c>
      <c r="G603" s="309" t="s">
        <v>1881</v>
      </c>
      <c r="H603" s="310" t="s">
        <v>1882</v>
      </c>
      <c r="I603" s="308" t="s">
        <v>1895</v>
      </c>
      <c r="J603" s="308" t="s">
        <v>1896</v>
      </c>
      <c r="K603" s="308" t="s">
        <v>63</v>
      </c>
      <c r="L603" s="306" t="s">
        <v>1860</v>
      </c>
      <c r="M603" s="306" t="s">
        <v>59</v>
      </c>
      <c r="N603" s="306" t="s">
        <v>60</v>
      </c>
      <c r="O603" s="308" t="s">
        <v>1874</v>
      </c>
      <c r="P603" s="308" t="s">
        <v>1893</v>
      </c>
      <c r="Q603" s="311">
        <v>57510750</v>
      </c>
      <c r="R603" s="306">
        <v>56</v>
      </c>
      <c r="S603" s="312">
        <v>161329000</v>
      </c>
      <c r="T603" s="306"/>
      <c r="U603" s="306" t="s">
        <v>1876</v>
      </c>
      <c r="V603" s="313" t="s">
        <v>836</v>
      </c>
      <c r="W603" s="314" t="s">
        <v>63</v>
      </c>
      <c r="X603" s="323"/>
      <c r="Y603" s="313"/>
      <c r="Z603" s="315"/>
      <c r="AA603" s="316"/>
      <c r="AB603" s="317"/>
      <c r="AC603" s="313"/>
      <c r="AD603" s="312"/>
      <c r="AE603" s="318">
        <f t="shared" si="68"/>
        <v>161329000</v>
      </c>
      <c r="AF603" s="317"/>
      <c r="AG603" s="313"/>
      <c r="AH603" s="312"/>
      <c r="AI603" s="306"/>
      <c r="AJ603" s="306"/>
      <c r="AK603" s="318">
        <f t="shared" si="71"/>
        <v>0</v>
      </c>
      <c r="AL603" s="312">
        <v>0</v>
      </c>
      <c r="AM603" s="312">
        <f t="shared" si="69"/>
        <v>0</v>
      </c>
      <c r="AN603" s="306" t="s">
        <v>1863</v>
      </c>
      <c r="AO603" s="312">
        <f t="shared" si="70"/>
        <v>161329000</v>
      </c>
      <c r="AP603" s="306"/>
      <c r="AQ603" s="306"/>
      <c r="AR603" s="306"/>
      <c r="AS603" s="306"/>
      <c r="AT603" s="306"/>
    </row>
    <row r="604" spans="1:47" ht="76.5" x14ac:dyDescent="0.25">
      <c r="A604" s="306">
        <v>9</v>
      </c>
      <c r="B604" s="306" t="str">
        <f t="shared" si="67"/>
        <v>3075-9</v>
      </c>
      <c r="C604" s="307" t="s">
        <v>1852</v>
      </c>
      <c r="D604" s="308" t="s">
        <v>1853</v>
      </c>
      <c r="E604" s="307" t="s">
        <v>1897</v>
      </c>
      <c r="F604" s="307" t="s">
        <v>1880</v>
      </c>
      <c r="G604" s="309" t="s">
        <v>1881</v>
      </c>
      <c r="H604" s="310" t="s">
        <v>1898</v>
      </c>
      <c r="I604" s="308" t="s">
        <v>1858</v>
      </c>
      <c r="J604" s="308" t="s">
        <v>1859</v>
      </c>
      <c r="K604" s="308" t="s">
        <v>63</v>
      </c>
      <c r="L604" s="306" t="s">
        <v>1860</v>
      </c>
      <c r="M604" s="306" t="s">
        <v>59</v>
      </c>
      <c r="N604" s="306" t="s">
        <v>60</v>
      </c>
      <c r="O604" s="308" t="s">
        <v>1899</v>
      </c>
      <c r="P604" s="308" t="s">
        <v>1900</v>
      </c>
      <c r="Q604" s="311">
        <v>500055.84642233857</v>
      </c>
      <c r="R604" s="306">
        <v>1146</v>
      </c>
      <c r="S604" s="312">
        <v>3433736127</v>
      </c>
      <c r="T604" s="306" t="s">
        <v>1876</v>
      </c>
      <c r="U604" s="306" t="s">
        <v>1876</v>
      </c>
      <c r="V604" s="313" t="s">
        <v>1015</v>
      </c>
      <c r="W604" s="314">
        <v>12</v>
      </c>
      <c r="X604" s="324" t="s">
        <v>1901</v>
      </c>
      <c r="Y604" s="313">
        <v>43109</v>
      </c>
      <c r="Z604" s="315">
        <v>3433736127</v>
      </c>
      <c r="AA604" s="316" t="s">
        <v>63</v>
      </c>
      <c r="AB604" s="317">
        <v>395</v>
      </c>
      <c r="AC604" s="313">
        <v>43110</v>
      </c>
      <c r="AD604" s="312">
        <v>3433736127</v>
      </c>
      <c r="AE604" s="318">
        <f t="shared" si="68"/>
        <v>0</v>
      </c>
      <c r="AF604" s="317" t="s">
        <v>1902</v>
      </c>
      <c r="AG604" s="313" t="s">
        <v>1902</v>
      </c>
      <c r="AH604" s="312">
        <v>3416977339</v>
      </c>
      <c r="AI604" s="306" t="s">
        <v>1902</v>
      </c>
      <c r="AJ604" s="306" t="s">
        <v>1902</v>
      </c>
      <c r="AK604" s="318">
        <f t="shared" si="71"/>
        <v>16758788</v>
      </c>
      <c r="AL604" s="312">
        <v>1345275772</v>
      </c>
      <c r="AM604" s="312">
        <f t="shared" si="69"/>
        <v>2071701567</v>
      </c>
      <c r="AN604" s="306" t="s">
        <v>1863</v>
      </c>
      <c r="AO604" s="312">
        <f t="shared" si="70"/>
        <v>16758788</v>
      </c>
      <c r="AP604" s="306"/>
      <c r="AQ604" s="306"/>
      <c r="AR604" s="306"/>
      <c r="AS604" s="306"/>
      <c r="AT604" s="306"/>
    </row>
    <row r="605" spans="1:47" ht="89.25" x14ac:dyDescent="0.25">
      <c r="A605" s="306">
        <v>10</v>
      </c>
      <c r="B605" s="306" t="str">
        <f t="shared" si="67"/>
        <v>3075-10</v>
      </c>
      <c r="C605" s="307" t="s">
        <v>1852</v>
      </c>
      <c r="D605" s="308" t="s">
        <v>1853</v>
      </c>
      <c r="E605" s="308" t="s">
        <v>1854</v>
      </c>
      <c r="F605" s="307" t="s">
        <v>1855</v>
      </c>
      <c r="G605" s="319" t="s">
        <v>1903</v>
      </c>
      <c r="H605" s="325" t="s">
        <v>1904</v>
      </c>
      <c r="I605" s="308" t="s">
        <v>1858</v>
      </c>
      <c r="J605" s="308" t="s">
        <v>1859</v>
      </c>
      <c r="K605" s="326" t="s">
        <v>63</v>
      </c>
      <c r="L605" s="306" t="s">
        <v>1860</v>
      </c>
      <c r="M605" s="306" t="s">
        <v>59</v>
      </c>
      <c r="N605" s="306" t="s">
        <v>60</v>
      </c>
      <c r="O605" s="308" t="s">
        <v>1899</v>
      </c>
      <c r="P605" s="308" t="s">
        <v>1905</v>
      </c>
      <c r="Q605" s="315">
        <v>45454545.454545453</v>
      </c>
      <c r="R605" s="306">
        <v>1</v>
      </c>
      <c r="S605" s="312">
        <v>10000000</v>
      </c>
      <c r="T605" s="306"/>
      <c r="U605" s="306" t="s">
        <v>1906</v>
      </c>
      <c r="V605" s="320" t="s">
        <v>302</v>
      </c>
      <c r="W605" s="314">
        <v>11</v>
      </c>
      <c r="X605" s="306"/>
      <c r="Y605" s="321"/>
      <c r="Z605" s="315"/>
      <c r="AA605" s="316"/>
      <c r="AB605" s="317"/>
      <c r="AC605" s="313"/>
      <c r="AD605" s="312"/>
      <c r="AE605" s="318">
        <f t="shared" si="68"/>
        <v>10000000</v>
      </c>
      <c r="AF605" s="317"/>
      <c r="AG605" s="313"/>
      <c r="AH605" s="312"/>
      <c r="AI605" s="306"/>
      <c r="AJ605" s="306"/>
      <c r="AK605" s="318">
        <f t="shared" si="71"/>
        <v>0</v>
      </c>
      <c r="AL605" s="312">
        <v>0</v>
      </c>
      <c r="AM605" s="312">
        <f t="shared" si="69"/>
        <v>0</v>
      </c>
      <c r="AN605" s="306" t="s">
        <v>1863</v>
      </c>
      <c r="AO605" s="312">
        <f t="shared" si="70"/>
        <v>10000000</v>
      </c>
      <c r="AP605" s="306"/>
      <c r="AQ605" s="306"/>
      <c r="AR605" s="306"/>
      <c r="AS605" s="306"/>
      <c r="AT605" s="306"/>
    </row>
    <row r="606" spans="1:47" ht="204" x14ac:dyDescent="0.25">
      <c r="A606" s="306">
        <v>11</v>
      </c>
      <c r="B606" s="306" t="str">
        <f t="shared" si="67"/>
        <v>3075-11</v>
      </c>
      <c r="C606" s="307" t="s">
        <v>1852</v>
      </c>
      <c r="D606" s="308" t="s">
        <v>1853</v>
      </c>
      <c r="E606" s="308" t="s">
        <v>1854</v>
      </c>
      <c r="F606" s="307" t="s">
        <v>1907</v>
      </c>
      <c r="G606" s="327" t="s">
        <v>1908</v>
      </c>
      <c r="H606" s="310" t="s">
        <v>1909</v>
      </c>
      <c r="I606" s="308" t="s">
        <v>1858</v>
      </c>
      <c r="J606" s="308" t="s">
        <v>1859</v>
      </c>
      <c r="K606" s="308">
        <v>801116</v>
      </c>
      <c r="L606" s="306" t="s">
        <v>1860</v>
      </c>
      <c r="M606" s="306" t="s">
        <v>59</v>
      </c>
      <c r="N606" s="306" t="s">
        <v>60</v>
      </c>
      <c r="O606" s="308" t="s">
        <v>1910</v>
      </c>
      <c r="P606" s="308" t="s">
        <v>1911</v>
      </c>
      <c r="Q606" s="315">
        <v>216666666.66666666</v>
      </c>
      <c r="R606" s="306">
        <v>1</v>
      </c>
      <c r="S606" s="312">
        <v>2600000000</v>
      </c>
      <c r="T606" s="306" t="s">
        <v>1078</v>
      </c>
      <c r="U606" s="306" t="s">
        <v>1906</v>
      </c>
      <c r="V606" s="313" t="s">
        <v>1912</v>
      </c>
      <c r="W606" s="314">
        <v>12</v>
      </c>
      <c r="X606" s="306" t="s">
        <v>1913</v>
      </c>
      <c r="Y606" s="313">
        <v>43111</v>
      </c>
      <c r="Z606" s="315">
        <v>2600000000</v>
      </c>
      <c r="AA606" s="316" t="s">
        <v>63</v>
      </c>
      <c r="AB606" s="317">
        <v>483</v>
      </c>
      <c r="AC606" s="313">
        <v>43112</v>
      </c>
      <c r="AD606" s="312">
        <v>2600000000</v>
      </c>
      <c r="AE606" s="318">
        <f t="shared" si="68"/>
        <v>0</v>
      </c>
      <c r="AF606" s="317" t="s">
        <v>1902</v>
      </c>
      <c r="AG606" s="313" t="s">
        <v>1902</v>
      </c>
      <c r="AH606" s="312">
        <v>507009178</v>
      </c>
      <c r="AI606" s="312" t="s">
        <v>1902</v>
      </c>
      <c r="AJ606" s="312" t="s">
        <v>1902</v>
      </c>
      <c r="AK606" s="318">
        <f t="shared" si="71"/>
        <v>2092990822</v>
      </c>
      <c r="AL606" s="312">
        <v>507009178</v>
      </c>
      <c r="AM606" s="312">
        <f t="shared" si="69"/>
        <v>0</v>
      </c>
      <c r="AN606" s="306" t="s">
        <v>1863</v>
      </c>
      <c r="AO606" s="312">
        <f t="shared" si="70"/>
        <v>2092990822</v>
      </c>
      <c r="AP606" s="306"/>
      <c r="AQ606" s="306"/>
      <c r="AR606" s="306"/>
      <c r="AS606" s="306"/>
      <c r="AT606" s="306"/>
    </row>
    <row r="607" spans="1:47" ht="76.5" x14ac:dyDescent="0.25">
      <c r="A607" s="306">
        <v>12</v>
      </c>
      <c r="B607" s="306" t="str">
        <f t="shared" si="67"/>
        <v>3075-12</v>
      </c>
      <c r="C607" s="307" t="s">
        <v>1852</v>
      </c>
      <c r="D607" s="308" t="s">
        <v>1853</v>
      </c>
      <c r="E607" s="308" t="s">
        <v>1854</v>
      </c>
      <c r="F607" s="307" t="s">
        <v>1907</v>
      </c>
      <c r="G607" s="327" t="s">
        <v>1908</v>
      </c>
      <c r="H607" s="310" t="s">
        <v>1909</v>
      </c>
      <c r="I607" s="308" t="s">
        <v>1858</v>
      </c>
      <c r="J607" s="308" t="s">
        <v>1859</v>
      </c>
      <c r="K607" s="308">
        <v>801116</v>
      </c>
      <c r="L607" s="306" t="s">
        <v>1860</v>
      </c>
      <c r="M607" s="306" t="s">
        <v>59</v>
      </c>
      <c r="N607" s="306" t="s">
        <v>60</v>
      </c>
      <c r="O607" s="308" t="s">
        <v>1910</v>
      </c>
      <c r="P607" s="328" t="s">
        <v>1914</v>
      </c>
      <c r="Q607" s="315">
        <v>1545000</v>
      </c>
      <c r="R607" s="306">
        <v>3</v>
      </c>
      <c r="S607" s="312">
        <v>16995000</v>
      </c>
      <c r="T607" s="306" t="s">
        <v>934</v>
      </c>
      <c r="U607" s="306" t="s">
        <v>1906</v>
      </c>
      <c r="V607" s="313" t="s">
        <v>308</v>
      </c>
      <c r="W607" s="314">
        <v>9.3330000000000002</v>
      </c>
      <c r="X607" s="306" t="s">
        <v>1915</v>
      </c>
      <c r="Y607" s="313">
        <v>43102</v>
      </c>
      <c r="Z607" s="315">
        <v>16995000</v>
      </c>
      <c r="AA607" s="316" t="s">
        <v>63</v>
      </c>
      <c r="AB607" s="317">
        <v>391</v>
      </c>
      <c r="AC607" s="313">
        <v>43110</v>
      </c>
      <c r="AD607" s="312">
        <v>16995000</v>
      </c>
      <c r="AE607" s="318">
        <f t="shared" si="68"/>
        <v>0</v>
      </c>
      <c r="AF607" s="317">
        <v>145</v>
      </c>
      <c r="AG607" s="313">
        <v>43117</v>
      </c>
      <c r="AH607" s="312">
        <v>16995000</v>
      </c>
      <c r="AI607" s="306" t="s">
        <v>1916</v>
      </c>
      <c r="AJ607" s="306">
        <v>153</v>
      </c>
      <c r="AK607" s="318">
        <f t="shared" si="71"/>
        <v>0</v>
      </c>
      <c r="AL607" s="312">
        <f t="shared" ref="AL607:AL619" si="72">VLOOKUP(AB607,RP,13,FALSE)</f>
        <v>3759500</v>
      </c>
      <c r="AM607" s="312">
        <f t="shared" si="69"/>
        <v>13235500</v>
      </c>
      <c r="AN607" s="306" t="s">
        <v>1863</v>
      </c>
      <c r="AO607" s="312">
        <f t="shared" si="70"/>
        <v>0</v>
      </c>
      <c r="AP607" s="306"/>
      <c r="AQ607" s="306"/>
      <c r="AR607" s="306"/>
      <c r="AS607" s="306"/>
      <c r="AT607" s="306"/>
    </row>
    <row r="608" spans="1:47" ht="89.25" x14ac:dyDescent="0.25">
      <c r="A608" s="306">
        <v>13</v>
      </c>
      <c r="B608" s="306" t="str">
        <f t="shared" si="67"/>
        <v>3075-13</v>
      </c>
      <c r="C608" s="307" t="s">
        <v>1852</v>
      </c>
      <c r="D608" s="308" t="s">
        <v>1853</v>
      </c>
      <c r="E608" s="308" t="s">
        <v>1854</v>
      </c>
      <c r="F608" s="307" t="s">
        <v>1907</v>
      </c>
      <c r="G608" s="327" t="s">
        <v>1908</v>
      </c>
      <c r="H608" s="310" t="s">
        <v>1909</v>
      </c>
      <c r="I608" s="308" t="s">
        <v>1858</v>
      </c>
      <c r="J608" s="308" t="s">
        <v>1859</v>
      </c>
      <c r="K608" s="308">
        <v>801116</v>
      </c>
      <c r="L608" s="306" t="s">
        <v>1860</v>
      </c>
      <c r="M608" s="306" t="s">
        <v>59</v>
      </c>
      <c r="N608" s="306" t="s">
        <v>60</v>
      </c>
      <c r="O608" s="308" t="s">
        <v>1910</v>
      </c>
      <c r="P608" s="308" t="s">
        <v>1917</v>
      </c>
      <c r="Q608" s="315">
        <v>10300000</v>
      </c>
      <c r="R608" s="306">
        <v>1</v>
      </c>
      <c r="S608" s="312">
        <v>115301139</v>
      </c>
      <c r="T608" s="306" t="s">
        <v>900</v>
      </c>
      <c r="U608" s="306" t="s">
        <v>1906</v>
      </c>
      <c r="V608" s="313" t="s">
        <v>308</v>
      </c>
      <c r="W608" s="314">
        <v>11</v>
      </c>
      <c r="X608" s="306" t="s">
        <v>1918</v>
      </c>
      <c r="Y608" s="313">
        <v>43103</v>
      </c>
      <c r="Z608" s="315">
        <v>113300000</v>
      </c>
      <c r="AA608" s="316" t="s">
        <v>63</v>
      </c>
      <c r="AB608" s="317">
        <v>317</v>
      </c>
      <c r="AC608" s="313">
        <v>43110</v>
      </c>
      <c r="AD608" s="312">
        <v>113300000</v>
      </c>
      <c r="AE608" s="318">
        <f t="shared" si="68"/>
        <v>2001139</v>
      </c>
      <c r="AF608" s="317">
        <v>25</v>
      </c>
      <c r="AG608" s="313">
        <v>43115</v>
      </c>
      <c r="AH608" s="312">
        <v>113300000</v>
      </c>
      <c r="AI608" s="306" t="s">
        <v>1919</v>
      </c>
      <c r="AJ608" s="306">
        <v>22</v>
      </c>
      <c r="AK608" s="318">
        <f t="shared" si="71"/>
        <v>0</v>
      </c>
      <c r="AL608" s="312">
        <f t="shared" si="72"/>
        <v>26093333</v>
      </c>
      <c r="AM608" s="312">
        <f t="shared" si="69"/>
        <v>87206667</v>
      </c>
      <c r="AN608" s="306" t="s">
        <v>1863</v>
      </c>
      <c r="AO608" s="312">
        <f t="shared" si="70"/>
        <v>2001139</v>
      </c>
      <c r="AP608" s="306"/>
      <c r="AQ608" s="306"/>
      <c r="AR608" s="306"/>
      <c r="AS608" s="306"/>
      <c r="AT608" s="306"/>
    </row>
    <row r="609" spans="1:46" ht="76.5" x14ac:dyDescent="0.25">
      <c r="A609" s="306">
        <v>14</v>
      </c>
      <c r="B609" s="306" t="str">
        <f t="shared" si="67"/>
        <v>3075-14</v>
      </c>
      <c r="C609" s="307" t="s">
        <v>1852</v>
      </c>
      <c r="D609" s="308" t="s">
        <v>1853</v>
      </c>
      <c r="E609" s="308" t="s">
        <v>1854</v>
      </c>
      <c r="F609" s="307" t="s">
        <v>1907</v>
      </c>
      <c r="G609" s="327" t="s">
        <v>1908</v>
      </c>
      <c r="H609" s="310" t="s">
        <v>1909</v>
      </c>
      <c r="I609" s="308" t="s">
        <v>1858</v>
      </c>
      <c r="J609" s="308" t="s">
        <v>1859</v>
      </c>
      <c r="K609" s="308">
        <v>801116</v>
      </c>
      <c r="L609" s="306" t="s">
        <v>1860</v>
      </c>
      <c r="M609" s="306" t="s">
        <v>59</v>
      </c>
      <c r="N609" s="306" t="s">
        <v>60</v>
      </c>
      <c r="O609" s="308" t="s">
        <v>1910</v>
      </c>
      <c r="P609" s="308" t="s">
        <v>1920</v>
      </c>
      <c r="Q609" s="315">
        <v>10300000</v>
      </c>
      <c r="R609" s="306">
        <v>1</v>
      </c>
      <c r="S609" s="312">
        <v>118450000</v>
      </c>
      <c r="T609" s="306" t="s">
        <v>900</v>
      </c>
      <c r="U609" s="306" t="s">
        <v>1906</v>
      </c>
      <c r="V609" s="313" t="s">
        <v>308</v>
      </c>
      <c r="W609" s="314">
        <v>11.5</v>
      </c>
      <c r="X609" s="306" t="s">
        <v>1921</v>
      </c>
      <c r="Y609" s="313">
        <v>43103</v>
      </c>
      <c r="Z609" s="315">
        <v>118450000</v>
      </c>
      <c r="AA609" s="316" t="s">
        <v>63</v>
      </c>
      <c r="AB609" s="317">
        <v>362</v>
      </c>
      <c r="AC609" s="313">
        <v>43110</v>
      </c>
      <c r="AD609" s="312">
        <v>118450000</v>
      </c>
      <c r="AE609" s="318">
        <f t="shared" si="68"/>
        <v>0</v>
      </c>
      <c r="AF609" s="317">
        <v>420</v>
      </c>
      <c r="AG609" s="313">
        <v>43124</v>
      </c>
      <c r="AH609" s="312">
        <v>118450000</v>
      </c>
      <c r="AI609" s="306" t="s">
        <v>1922</v>
      </c>
      <c r="AJ609" s="306">
        <v>365</v>
      </c>
      <c r="AK609" s="318">
        <f t="shared" si="71"/>
        <v>0</v>
      </c>
      <c r="AL609" s="312">
        <f t="shared" si="72"/>
        <v>22660000</v>
      </c>
      <c r="AM609" s="312">
        <f t="shared" si="69"/>
        <v>95790000</v>
      </c>
      <c r="AN609" s="306" t="s">
        <v>1863</v>
      </c>
      <c r="AO609" s="312">
        <f t="shared" si="70"/>
        <v>0</v>
      </c>
      <c r="AP609" s="306"/>
      <c r="AQ609" s="306"/>
      <c r="AR609" s="306"/>
      <c r="AS609" s="306"/>
      <c r="AT609" s="306"/>
    </row>
    <row r="610" spans="1:46" ht="76.5" x14ac:dyDescent="0.25">
      <c r="A610" s="306">
        <v>15</v>
      </c>
      <c r="B610" s="306" t="str">
        <f t="shared" si="67"/>
        <v>3075-15</v>
      </c>
      <c r="C610" s="307" t="s">
        <v>1852</v>
      </c>
      <c r="D610" s="308" t="s">
        <v>1853</v>
      </c>
      <c r="E610" s="308" t="s">
        <v>1854</v>
      </c>
      <c r="F610" s="307" t="s">
        <v>1907</v>
      </c>
      <c r="G610" s="327" t="s">
        <v>1908</v>
      </c>
      <c r="H610" s="310" t="s">
        <v>1909</v>
      </c>
      <c r="I610" s="308" t="s">
        <v>1858</v>
      </c>
      <c r="J610" s="308" t="s">
        <v>1859</v>
      </c>
      <c r="K610" s="308">
        <v>801116</v>
      </c>
      <c r="L610" s="306" t="s">
        <v>1860</v>
      </c>
      <c r="M610" s="306" t="s">
        <v>59</v>
      </c>
      <c r="N610" s="306" t="s">
        <v>60</v>
      </c>
      <c r="O610" s="308" t="s">
        <v>1910</v>
      </c>
      <c r="P610" s="308" t="s">
        <v>1923</v>
      </c>
      <c r="Q610" s="315">
        <v>5036700</v>
      </c>
      <c r="R610" s="306">
        <v>1</v>
      </c>
      <c r="S610" s="312">
        <v>55403700</v>
      </c>
      <c r="T610" s="306" t="s">
        <v>900</v>
      </c>
      <c r="U610" s="306" t="s">
        <v>1906</v>
      </c>
      <c r="V610" s="313" t="s">
        <v>308</v>
      </c>
      <c r="W610" s="314">
        <v>11</v>
      </c>
      <c r="X610" s="306" t="s">
        <v>1924</v>
      </c>
      <c r="Y610" s="313">
        <v>43103</v>
      </c>
      <c r="Z610" s="315">
        <v>55403700</v>
      </c>
      <c r="AA610" s="316" t="s">
        <v>63</v>
      </c>
      <c r="AB610" s="317">
        <v>322</v>
      </c>
      <c r="AC610" s="313">
        <v>43110</v>
      </c>
      <c r="AD610" s="312">
        <v>55403700</v>
      </c>
      <c r="AE610" s="318">
        <f t="shared" si="68"/>
        <v>0</v>
      </c>
      <c r="AF610" s="317">
        <v>351</v>
      </c>
      <c r="AG610" s="313">
        <v>43123</v>
      </c>
      <c r="AH610" s="312">
        <v>55403700</v>
      </c>
      <c r="AI610" s="306" t="s">
        <v>1925</v>
      </c>
      <c r="AJ610" s="306">
        <v>297</v>
      </c>
      <c r="AK610" s="318">
        <f t="shared" si="71"/>
        <v>0</v>
      </c>
      <c r="AL610" s="312">
        <f t="shared" si="72"/>
        <v>9569730</v>
      </c>
      <c r="AM610" s="312">
        <f t="shared" si="69"/>
        <v>45833970</v>
      </c>
      <c r="AN610" s="306" t="s">
        <v>1863</v>
      </c>
      <c r="AO610" s="312">
        <f t="shared" si="70"/>
        <v>0</v>
      </c>
      <c r="AP610" s="306"/>
      <c r="AQ610" s="306"/>
      <c r="AR610" s="306"/>
      <c r="AS610" s="306"/>
      <c r="AT610" s="306"/>
    </row>
    <row r="611" spans="1:46" ht="76.5" x14ac:dyDescent="0.25">
      <c r="A611" s="306">
        <v>16</v>
      </c>
      <c r="B611" s="306" t="str">
        <f t="shared" si="67"/>
        <v>3075-16</v>
      </c>
      <c r="C611" s="307" t="s">
        <v>1852</v>
      </c>
      <c r="D611" s="308" t="s">
        <v>1853</v>
      </c>
      <c r="E611" s="308" t="s">
        <v>1854</v>
      </c>
      <c r="F611" s="307" t="s">
        <v>1907</v>
      </c>
      <c r="G611" s="327" t="s">
        <v>1908</v>
      </c>
      <c r="H611" s="310" t="s">
        <v>1909</v>
      </c>
      <c r="I611" s="308" t="s">
        <v>1858</v>
      </c>
      <c r="J611" s="308" t="s">
        <v>1859</v>
      </c>
      <c r="K611" s="308">
        <v>801116</v>
      </c>
      <c r="L611" s="306" t="s">
        <v>1860</v>
      </c>
      <c r="M611" s="306" t="s">
        <v>59</v>
      </c>
      <c r="N611" s="306" t="s">
        <v>60</v>
      </c>
      <c r="O611" s="308" t="s">
        <v>1910</v>
      </c>
      <c r="P611" s="308" t="s">
        <v>1926</v>
      </c>
      <c r="Q611" s="315">
        <v>7210000</v>
      </c>
      <c r="R611" s="306">
        <v>1</v>
      </c>
      <c r="S611" s="312">
        <v>79310000</v>
      </c>
      <c r="T611" s="306" t="s">
        <v>900</v>
      </c>
      <c r="U611" s="306" t="s">
        <v>1906</v>
      </c>
      <c r="V611" s="313" t="s">
        <v>308</v>
      </c>
      <c r="W611" s="314">
        <v>11</v>
      </c>
      <c r="X611" s="306" t="s">
        <v>1927</v>
      </c>
      <c r="Y611" s="313">
        <v>43103</v>
      </c>
      <c r="Z611" s="315">
        <v>79310000</v>
      </c>
      <c r="AA611" s="316" t="s">
        <v>63</v>
      </c>
      <c r="AB611" s="317">
        <v>336</v>
      </c>
      <c r="AC611" s="313">
        <v>43110</v>
      </c>
      <c r="AD611" s="312">
        <v>79310000</v>
      </c>
      <c r="AE611" s="318">
        <f t="shared" si="68"/>
        <v>0</v>
      </c>
      <c r="AF611" s="317">
        <v>356</v>
      </c>
      <c r="AG611" s="313">
        <v>43123</v>
      </c>
      <c r="AH611" s="312">
        <v>79310000</v>
      </c>
      <c r="AI611" s="306" t="s">
        <v>1928</v>
      </c>
      <c r="AJ611" s="306">
        <v>354</v>
      </c>
      <c r="AK611" s="318">
        <f t="shared" si="71"/>
        <v>0</v>
      </c>
      <c r="AL611" s="312">
        <f t="shared" si="72"/>
        <v>15621667</v>
      </c>
      <c r="AM611" s="312">
        <f t="shared" si="69"/>
        <v>63688333</v>
      </c>
      <c r="AN611" s="306" t="s">
        <v>1863</v>
      </c>
      <c r="AO611" s="312">
        <f t="shared" si="70"/>
        <v>0</v>
      </c>
      <c r="AP611" s="306"/>
      <c r="AQ611" s="306"/>
      <c r="AR611" s="306"/>
      <c r="AS611" s="306"/>
      <c r="AT611" s="306"/>
    </row>
    <row r="612" spans="1:46" ht="102" x14ac:dyDescent="0.25">
      <c r="A612" s="306">
        <v>17</v>
      </c>
      <c r="B612" s="306" t="str">
        <f t="shared" si="67"/>
        <v>3075-17</v>
      </c>
      <c r="C612" s="307" t="s">
        <v>1852</v>
      </c>
      <c r="D612" s="308" t="s">
        <v>1853</v>
      </c>
      <c r="E612" s="308" t="s">
        <v>1854</v>
      </c>
      <c r="F612" s="307" t="s">
        <v>1907</v>
      </c>
      <c r="G612" s="327" t="s">
        <v>1908</v>
      </c>
      <c r="H612" s="310" t="s">
        <v>1909</v>
      </c>
      <c r="I612" s="308" t="s">
        <v>1858</v>
      </c>
      <c r="J612" s="308" t="s">
        <v>1859</v>
      </c>
      <c r="K612" s="308">
        <v>801116</v>
      </c>
      <c r="L612" s="306" t="s">
        <v>1860</v>
      </c>
      <c r="M612" s="306" t="s">
        <v>59</v>
      </c>
      <c r="N612" s="306" t="s">
        <v>60</v>
      </c>
      <c r="O612" s="308" t="s">
        <v>1910</v>
      </c>
      <c r="P612" s="308" t="s">
        <v>1929</v>
      </c>
      <c r="Q612" s="315">
        <v>10300000</v>
      </c>
      <c r="R612" s="306">
        <v>1</v>
      </c>
      <c r="S612" s="312">
        <v>113300000</v>
      </c>
      <c r="T612" s="306" t="s">
        <v>900</v>
      </c>
      <c r="U612" s="306" t="s">
        <v>1906</v>
      </c>
      <c r="V612" s="313" t="s">
        <v>308</v>
      </c>
      <c r="W612" s="314">
        <v>11</v>
      </c>
      <c r="X612" s="306" t="s">
        <v>1930</v>
      </c>
      <c r="Y612" s="313">
        <v>43103</v>
      </c>
      <c r="Z612" s="315">
        <v>113300000</v>
      </c>
      <c r="AA612" s="316" t="s">
        <v>1931</v>
      </c>
      <c r="AB612" s="317">
        <v>321</v>
      </c>
      <c r="AC612" s="313">
        <v>43110</v>
      </c>
      <c r="AD612" s="312">
        <v>113300000</v>
      </c>
      <c r="AE612" s="318">
        <f t="shared" si="68"/>
        <v>0</v>
      </c>
      <c r="AF612" s="317">
        <v>158</v>
      </c>
      <c r="AG612" s="313">
        <v>43118</v>
      </c>
      <c r="AH612" s="312">
        <v>113300000</v>
      </c>
      <c r="AI612" s="306" t="s">
        <v>1932</v>
      </c>
      <c r="AJ612" s="306">
        <v>109</v>
      </c>
      <c r="AK612" s="318">
        <f t="shared" si="71"/>
        <v>0</v>
      </c>
      <c r="AL612" s="312">
        <f t="shared" si="72"/>
        <v>25063333</v>
      </c>
      <c r="AM612" s="312">
        <f t="shared" si="69"/>
        <v>88236667</v>
      </c>
      <c r="AN612" s="306" t="s">
        <v>1863</v>
      </c>
      <c r="AO612" s="312">
        <f t="shared" si="70"/>
        <v>0</v>
      </c>
      <c r="AP612" s="306"/>
      <c r="AQ612" s="306"/>
      <c r="AR612" s="306"/>
      <c r="AS612" s="306"/>
      <c r="AT612" s="306"/>
    </row>
    <row r="613" spans="1:46" ht="76.5" x14ac:dyDescent="0.25">
      <c r="A613" s="306">
        <v>18</v>
      </c>
      <c r="B613" s="306" t="str">
        <f t="shared" si="67"/>
        <v>3075-18</v>
      </c>
      <c r="C613" s="307" t="s">
        <v>1852</v>
      </c>
      <c r="D613" s="308" t="s">
        <v>1853</v>
      </c>
      <c r="E613" s="308" t="s">
        <v>1854</v>
      </c>
      <c r="F613" s="307" t="s">
        <v>1907</v>
      </c>
      <c r="G613" s="327" t="s">
        <v>1908</v>
      </c>
      <c r="H613" s="310" t="s">
        <v>1909</v>
      </c>
      <c r="I613" s="308" t="s">
        <v>1858</v>
      </c>
      <c r="J613" s="308" t="s">
        <v>1859</v>
      </c>
      <c r="K613" s="308">
        <v>801116</v>
      </c>
      <c r="L613" s="306" t="s">
        <v>1860</v>
      </c>
      <c r="M613" s="306" t="s">
        <v>59</v>
      </c>
      <c r="N613" s="306" t="s">
        <v>60</v>
      </c>
      <c r="O613" s="308" t="s">
        <v>1910</v>
      </c>
      <c r="P613" s="308" t="s">
        <v>1933</v>
      </c>
      <c r="Q613" s="315">
        <v>3399000</v>
      </c>
      <c r="R613" s="306">
        <v>1</v>
      </c>
      <c r="S613" s="312">
        <v>20394000</v>
      </c>
      <c r="T613" s="306" t="s">
        <v>900</v>
      </c>
      <c r="U613" s="306" t="s">
        <v>1906</v>
      </c>
      <c r="V613" s="313" t="s">
        <v>308</v>
      </c>
      <c r="W613" s="314">
        <v>6</v>
      </c>
      <c r="X613" s="306" t="s">
        <v>1934</v>
      </c>
      <c r="Y613" s="313">
        <v>43102</v>
      </c>
      <c r="Z613" s="315">
        <v>20394000</v>
      </c>
      <c r="AA613" s="316" t="s">
        <v>63</v>
      </c>
      <c r="AB613" s="317">
        <v>230</v>
      </c>
      <c r="AC613" s="313">
        <v>43105</v>
      </c>
      <c r="AD613" s="312">
        <v>20394000</v>
      </c>
      <c r="AE613" s="318">
        <f t="shared" si="68"/>
        <v>0</v>
      </c>
      <c r="AF613" s="317">
        <v>345</v>
      </c>
      <c r="AG613" s="313">
        <v>43123</v>
      </c>
      <c r="AH613" s="312">
        <v>20394000</v>
      </c>
      <c r="AI613" s="306" t="s">
        <v>1935</v>
      </c>
      <c r="AJ613" s="306">
        <v>348</v>
      </c>
      <c r="AK613" s="318">
        <f t="shared" si="71"/>
        <v>0</v>
      </c>
      <c r="AL613" s="312">
        <f t="shared" si="72"/>
        <v>7477800</v>
      </c>
      <c r="AM613" s="312">
        <f t="shared" si="69"/>
        <v>12916200</v>
      </c>
      <c r="AN613" s="306" t="s">
        <v>1863</v>
      </c>
      <c r="AO613" s="312">
        <f t="shared" si="70"/>
        <v>0</v>
      </c>
      <c r="AP613" s="306"/>
      <c r="AQ613" s="306"/>
      <c r="AR613" s="306"/>
      <c r="AS613" s="306"/>
      <c r="AT613" s="306"/>
    </row>
    <row r="614" spans="1:46" ht="76.5" x14ac:dyDescent="0.25">
      <c r="A614" s="306">
        <v>19</v>
      </c>
      <c r="B614" s="306" t="str">
        <f t="shared" si="67"/>
        <v>3075-19</v>
      </c>
      <c r="C614" s="307" t="s">
        <v>1852</v>
      </c>
      <c r="D614" s="308" t="s">
        <v>1853</v>
      </c>
      <c r="E614" s="308" t="s">
        <v>1854</v>
      </c>
      <c r="F614" s="307" t="s">
        <v>1907</v>
      </c>
      <c r="G614" s="327" t="s">
        <v>1908</v>
      </c>
      <c r="H614" s="310" t="s">
        <v>1909</v>
      </c>
      <c r="I614" s="308" t="s">
        <v>1858</v>
      </c>
      <c r="J614" s="308" t="s">
        <v>1859</v>
      </c>
      <c r="K614" s="308">
        <v>801116</v>
      </c>
      <c r="L614" s="306" t="s">
        <v>1860</v>
      </c>
      <c r="M614" s="306" t="s">
        <v>59</v>
      </c>
      <c r="N614" s="306" t="s">
        <v>60</v>
      </c>
      <c r="O614" s="308" t="s">
        <v>1910</v>
      </c>
      <c r="P614" s="328" t="s">
        <v>1936</v>
      </c>
      <c r="Q614" s="315">
        <v>3399000</v>
      </c>
      <c r="R614" s="306">
        <v>1</v>
      </c>
      <c r="S614" s="312">
        <v>30591000</v>
      </c>
      <c r="T614" s="306" t="s">
        <v>900</v>
      </c>
      <c r="U614" s="306" t="s">
        <v>1906</v>
      </c>
      <c r="V614" s="313" t="s">
        <v>308</v>
      </c>
      <c r="W614" s="314">
        <v>9</v>
      </c>
      <c r="X614" s="306" t="s">
        <v>1937</v>
      </c>
      <c r="Y614" s="313">
        <v>43102</v>
      </c>
      <c r="Z614" s="315">
        <v>30591000</v>
      </c>
      <c r="AA614" s="316" t="s">
        <v>63</v>
      </c>
      <c r="AB614" s="317">
        <v>385</v>
      </c>
      <c r="AC614" s="313">
        <v>43110</v>
      </c>
      <c r="AD614" s="312">
        <v>30591000</v>
      </c>
      <c r="AE614" s="318">
        <f t="shared" si="68"/>
        <v>0</v>
      </c>
      <c r="AF614" s="317">
        <v>239</v>
      </c>
      <c r="AG614" s="313">
        <v>43119</v>
      </c>
      <c r="AH614" s="312">
        <v>30591000</v>
      </c>
      <c r="AI614" s="306" t="s">
        <v>1938</v>
      </c>
      <c r="AJ614" s="306">
        <v>222</v>
      </c>
      <c r="AK614" s="318">
        <f t="shared" si="71"/>
        <v>0</v>
      </c>
      <c r="AL614" s="312">
        <f t="shared" si="72"/>
        <v>8157600</v>
      </c>
      <c r="AM614" s="312">
        <f t="shared" si="69"/>
        <v>22433400</v>
      </c>
      <c r="AN614" s="306" t="s">
        <v>1863</v>
      </c>
      <c r="AO614" s="312">
        <f t="shared" si="70"/>
        <v>0</v>
      </c>
      <c r="AP614" s="306"/>
      <c r="AQ614" s="306"/>
      <c r="AR614" s="306"/>
      <c r="AS614" s="306"/>
      <c r="AT614" s="306"/>
    </row>
    <row r="615" spans="1:46" ht="76.5" x14ac:dyDescent="0.25">
      <c r="A615" s="306">
        <v>20</v>
      </c>
      <c r="B615" s="306" t="str">
        <f t="shared" si="67"/>
        <v>3075-20</v>
      </c>
      <c r="C615" s="307" t="s">
        <v>1852</v>
      </c>
      <c r="D615" s="308" t="s">
        <v>1853</v>
      </c>
      <c r="E615" s="308" t="s">
        <v>1854</v>
      </c>
      <c r="F615" s="307" t="s">
        <v>1907</v>
      </c>
      <c r="G615" s="327" t="s">
        <v>1908</v>
      </c>
      <c r="H615" s="310" t="s">
        <v>1909</v>
      </c>
      <c r="I615" s="308" t="s">
        <v>1858</v>
      </c>
      <c r="J615" s="308" t="s">
        <v>1859</v>
      </c>
      <c r="K615" s="308">
        <v>801116</v>
      </c>
      <c r="L615" s="306" t="s">
        <v>1860</v>
      </c>
      <c r="M615" s="306" t="s">
        <v>59</v>
      </c>
      <c r="N615" s="306" t="s">
        <v>60</v>
      </c>
      <c r="O615" s="308" t="s">
        <v>1910</v>
      </c>
      <c r="P615" s="308" t="s">
        <v>1939</v>
      </c>
      <c r="Q615" s="315">
        <v>3399000</v>
      </c>
      <c r="R615" s="306">
        <v>1</v>
      </c>
      <c r="S615" s="312">
        <v>37389000</v>
      </c>
      <c r="T615" s="306" t="s">
        <v>900</v>
      </c>
      <c r="U615" s="306" t="s">
        <v>1906</v>
      </c>
      <c r="V615" s="313" t="s">
        <v>308</v>
      </c>
      <c r="W615" s="314">
        <v>11</v>
      </c>
      <c r="X615" s="306" t="s">
        <v>1940</v>
      </c>
      <c r="Y615" s="313">
        <v>43102</v>
      </c>
      <c r="Z615" s="315">
        <v>37389000</v>
      </c>
      <c r="AA615" s="316" t="s">
        <v>63</v>
      </c>
      <c r="AB615" s="317">
        <v>151</v>
      </c>
      <c r="AC615" s="313">
        <v>43105</v>
      </c>
      <c r="AD615" s="312">
        <v>37389000</v>
      </c>
      <c r="AE615" s="318">
        <f t="shared" si="68"/>
        <v>0</v>
      </c>
      <c r="AF615" s="317">
        <v>2</v>
      </c>
      <c r="AG615" s="313">
        <v>43111</v>
      </c>
      <c r="AH615" s="312">
        <v>37389000</v>
      </c>
      <c r="AI615" s="306" t="s">
        <v>1941</v>
      </c>
      <c r="AJ615" s="306">
        <v>2</v>
      </c>
      <c r="AK615" s="318">
        <f t="shared" si="71"/>
        <v>0</v>
      </c>
      <c r="AL615" s="312">
        <f t="shared" si="72"/>
        <v>9064000</v>
      </c>
      <c r="AM615" s="312">
        <f t="shared" si="69"/>
        <v>28325000</v>
      </c>
      <c r="AN615" s="306" t="s">
        <v>1863</v>
      </c>
      <c r="AO615" s="312">
        <f t="shared" si="70"/>
        <v>0</v>
      </c>
      <c r="AP615" s="306"/>
      <c r="AQ615" s="306"/>
      <c r="AR615" s="306"/>
      <c r="AS615" s="306"/>
      <c r="AT615" s="306"/>
    </row>
    <row r="616" spans="1:46" ht="76.5" x14ac:dyDescent="0.25">
      <c r="A616" s="306">
        <v>21</v>
      </c>
      <c r="B616" s="306" t="str">
        <f t="shared" si="67"/>
        <v>3075-21</v>
      </c>
      <c r="C616" s="307" t="s">
        <v>1852</v>
      </c>
      <c r="D616" s="308" t="s">
        <v>1853</v>
      </c>
      <c r="E616" s="308" t="s">
        <v>1854</v>
      </c>
      <c r="F616" s="307" t="s">
        <v>1907</v>
      </c>
      <c r="G616" s="327" t="s">
        <v>1908</v>
      </c>
      <c r="H616" s="310" t="s">
        <v>1909</v>
      </c>
      <c r="I616" s="308" t="s">
        <v>1858</v>
      </c>
      <c r="J616" s="308" t="s">
        <v>1859</v>
      </c>
      <c r="K616" s="308">
        <v>801116</v>
      </c>
      <c r="L616" s="306" t="s">
        <v>1860</v>
      </c>
      <c r="M616" s="306" t="s">
        <v>59</v>
      </c>
      <c r="N616" s="306" t="s">
        <v>60</v>
      </c>
      <c r="O616" s="308" t="s">
        <v>1910</v>
      </c>
      <c r="P616" s="308" t="s">
        <v>1942</v>
      </c>
      <c r="Q616" s="315">
        <v>3326900</v>
      </c>
      <c r="R616" s="306">
        <v>1</v>
      </c>
      <c r="S616" s="312">
        <v>33269000</v>
      </c>
      <c r="T616" s="306" t="s">
        <v>934</v>
      </c>
      <c r="U616" s="306" t="s">
        <v>1906</v>
      </c>
      <c r="V616" s="313" t="s">
        <v>308</v>
      </c>
      <c r="W616" s="314">
        <v>10</v>
      </c>
      <c r="X616" s="306" t="s">
        <v>1943</v>
      </c>
      <c r="Y616" s="313">
        <v>43102</v>
      </c>
      <c r="Z616" s="315">
        <v>33269000</v>
      </c>
      <c r="AA616" s="316" t="s">
        <v>63</v>
      </c>
      <c r="AB616" s="317">
        <v>211</v>
      </c>
      <c r="AC616" s="313">
        <v>43105</v>
      </c>
      <c r="AD616" s="312">
        <v>33269000</v>
      </c>
      <c r="AE616" s="318">
        <f t="shared" si="68"/>
        <v>0</v>
      </c>
      <c r="AF616" s="317">
        <v>201</v>
      </c>
      <c r="AG616" s="313">
        <v>43118</v>
      </c>
      <c r="AH616" s="312">
        <v>33269000</v>
      </c>
      <c r="AI616" s="306" t="s">
        <v>1944</v>
      </c>
      <c r="AJ616" s="306">
        <v>190</v>
      </c>
      <c r="AK616" s="318">
        <f t="shared" si="71"/>
        <v>0</v>
      </c>
      <c r="AL616" s="312">
        <f t="shared" si="72"/>
        <v>7984560</v>
      </c>
      <c r="AM616" s="312">
        <f t="shared" si="69"/>
        <v>25284440</v>
      </c>
      <c r="AN616" s="306" t="s">
        <v>1863</v>
      </c>
      <c r="AO616" s="312">
        <f t="shared" si="70"/>
        <v>0</v>
      </c>
      <c r="AP616" s="306"/>
      <c r="AQ616" s="306"/>
      <c r="AR616" s="306"/>
      <c r="AS616" s="306"/>
      <c r="AT616" s="306"/>
    </row>
    <row r="617" spans="1:46" ht="76.5" x14ac:dyDescent="0.25">
      <c r="A617" s="306">
        <v>22</v>
      </c>
      <c r="B617" s="306" t="str">
        <f t="shared" si="67"/>
        <v>3075-22</v>
      </c>
      <c r="C617" s="307" t="s">
        <v>1852</v>
      </c>
      <c r="D617" s="308" t="s">
        <v>1853</v>
      </c>
      <c r="E617" s="308" t="s">
        <v>1854</v>
      </c>
      <c r="F617" s="307" t="s">
        <v>1907</v>
      </c>
      <c r="G617" s="327" t="s">
        <v>1908</v>
      </c>
      <c r="H617" s="310" t="s">
        <v>1909</v>
      </c>
      <c r="I617" s="308" t="s">
        <v>1858</v>
      </c>
      <c r="J617" s="308" t="s">
        <v>1859</v>
      </c>
      <c r="K617" s="308">
        <v>801116</v>
      </c>
      <c r="L617" s="306" t="s">
        <v>1860</v>
      </c>
      <c r="M617" s="306" t="s">
        <v>59</v>
      </c>
      <c r="N617" s="306" t="s">
        <v>60</v>
      </c>
      <c r="O617" s="308" t="s">
        <v>1910</v>
      </c>
      <c r="P617" s="308" t="s">
        <v>1945</v>
      </c>
      <c r="Q617" s="315">
        <v>3326900</v>
      </c>
      <c r="R617" s="306">
        <v>1</v>
      </c>
      <c r="S617" s="312">
        <v>36595900</v>
      </c>
      <c r="T617" s="306" t="s">
        <v>934</v>
      </c>
      <c r="U617" s="306" t="s">
        <v>1906</v>
      </c>
      <c r="V617" s="313" t="s">
        <v>308</v>
      </c>
      <c r="W617" s="314">
        <v>11</v>
      </c>
      <c r="X617" s="306" t="s">
        <v>1946</v>
      </c>
      <c r="Y617" s="313">
        <v>43102</v>
      </c>
      <c r="Z617" s="315">
        <v>36595900</v>
      </c>
      <c r="AA617" s="316" t="s">
        <v>63</v>
      </c>
      <c r="AB617" s="317">
        <v>202</v>
      </c>
      <c r="AC617" s="313">
        <v>43105</v>
      </c>
      <c r="AD617" s="312">
        <v>36595900</v>
      </c>
      <c r="AE617" s="318">
        <f t="shared" si="68"/>
        <v>0</v>
      </c>
      <c r="AF617" s="317">
        <v>198</v>
      </c>
      <c r="AG617" s="313">
        <v>43118</v>
      </c>
      <c r="AH617" s="312">
        <v>36595900</v>
      </c>
      <c r="AI617" s="306" t="s">
        <v>1947</v>
      </c>
      <c r="AJ617" s="306">
        <v>180</v>
      </c>
      <c r="AK617" s="318">
        <f t="shared" si="71"/>
        <v>0</v>
      </c>
      <c r="AL617" s="312">
        <f t="shared" si="72"/>
        <v>7984560</v>
      </c>
      <c r="AM617" s="312">
        <f t="shared" si="69"/>
        <v>28611340</v>
      </c>
      <c r="AN617" s="306" t="s">
        <v>1863</v>
      </c>
      <c r="AO617" s="312">
        <f t="shared" si="70"/>
        <v>0</v>
      </c>
      <c r="AP617" s="306"/>
      <c r="AQ617" s="306"/>
      <c r="AR617" s="306"/>
      <c r="AS617" s="306"/>
      <c r="AT617" s="306"/>
    </row>
    <row r="618" spans="1:46" ht="89.25" x14ac:dyDescent="0.25">
      <c r="A618" s="306">
        <v>23</v>
      </c>
      <c r="B618" s="306" t="str">
        <f t="shared" si="67"/>
        <v>3075-23</v>
      </c>
      <c r="C618" s="307" t="s">
        <v>1852</v>
      </c>
      <c r="D618" s="308" t="s">
        <v>1853</v>
      </c>
      <c r="E618" s="308" t="s">
        <v>1854</v>
      </c>
      <c r="F618" s="307" t="s">
        <v>1907</v>
      </c>
      <c r="G618" s="327" t="s">
        <v>1908</v>
      </c>
      <c r="H618" s="310" t="s">
        <v>1909</v>
      </c>
      <c r="I618" s="308" t="s">
        <v>1858</v>
      </c>
      <c r="J618" s="308" t="s">
        <v>1859</v>
      </c>
      <c r="K618" s="308">
        <v>801116</v>
      </c>
      <c r="L618" s="306" t="s">
        <v>1860</v>
      </c>
      <c r="M618" s="306" t="s">
        <v>59</v>
      </c>
      <c r="N618" s="306" t="s">
        <v>60</v>
      </c>
      <c r="O618" s="308" t="s">
        <v>1910</v>
      </c>
      <c r="P618" s="308" t="s">
        <v>1948</v>
      </c>
      <c r="Q618" s="315">
        <v>3399000</v>
      </c>
      <c r="R618" s="306">
        <v>1</v>
      </c>
      <c r="S618" s="312">
        <v>30591000</v>
      </c>
      <c r="T618" s="306" t="s">
        <v>900</v>
      </c>
      <c r="U618" s="306" t="s">
        <v>1906</v>
      </c>
      <c r="V618" s="313" t="s">
        <v>308</v>
      </c>
      <c r="W618" s="314">
        <v>9</v>
      </c>
      <c r="X618" s="306" t="s">
        <v>1949</v>
      </c>
      <c r="Y618" s="313">
        <v>43102</v>
      </c>
      <c r="Z618" s="315">
        <v>30591000</v>
      </c>
      <c r="AA618" s="316" t="s">
        <v>63</v>
      </c>
      <c r="AB618" s="317">
        <v>354</v>
      </c>
      <c r="AC618" s="313">
        <v>43110</v>
      </c>
      <c r="AD618" s="312">
        <v>30591000</v>
      </c>
      <c r="AE618" s="318">
        <f t="shared" si="68"/>
        <v>0</v>
      </c>
      <c r="AF618" s="317">
        <v>128</v>
      </c>
      <c r="AG618" s="313">
        <v>43117</v>
      </c>
      <c r="AH618" s="312">
        <v>30591000</v>
      </c>
      <c r="AI618" s="306" t="s">
        <v>1950</v>
      </c>
      <c r="AJ618" s="306">
        <v>111</v>
      </c>
      <c r="AK618" s="318">
        <f t="shared" si="71"/>
        <v>0</v>
      </c>
      <c r="AL618" s="312">
        <f t="shared" si="72"/>
        <v>8270900</v>
      </c>
      <c r="AM618" s="312">
        <f t="shared" si="69"/>
        <v>22320100</v>
      </c>
      <c r="AN618" s="306" t="s">
        <v>1863</v>
      </c>
      <c r="AO618" s="312">
        <f t="shared" si="70"/>
        <v>0</v>
      </c>
      <c r="AP618" s="306"/>
      <c r="AQ618" s="306"/>
      <c r="AR618" s="306"/>
      <c r="AS618" s="306"/>
      <c r="AT618" s="306"/>
    </row>
    <row r="619" spans="1:46" ht="76.5" x14ac:dyDescent="0.25">
      <c r="A619" s="306">
        <v>24</v>
      </c>
      <c r="B619" s="306" t="str">
        <f t="shared" si="67"/>
        <v>3075-24</v>
      </c>
      <c r="C619" s="307" t="s">
        <v>1852</v>
      </c>
      <c r="D619" s="308" t="s">
        <v>1853</v>
      </c>
      <c r="E619" s="308" t="s">
        <v>1854</v>
      </c>
      <c r="F619" s="307" t="s">
        <v>1907</v>
      </c>
      <c r="G619" s="327" t="s">
        <v>1908</v>
      </c>
      <c r="H619" s="310" t="s">
        <v>1909</v>
      </c>
      <c r="I619" s="308" t="s">
        <v>1858</v>
      </c>
      <c r="J619" s="308" t="s">
        <v>1859</v>
      </c>
      <c r="K619" s="308">
        <v>801116</v>
      </c>
      <c r="L619" s="306" t="s">
        <v>1860</v>
      </c>
      <c r="M619" s="306" t="s">
        <v>59</v>
      </c>
      <c r="N619" s="306" t="s">
        <v>60</v>
      </c>
      <c r="O619" s="308" t="s">
        <v>1910</v>
      </c>
      <c r="P619" s="308" t="s">
        <v>1951</v>
      </c>
      <c r="Q619" s="315">
        <v>8240000</v>
      </c>
      <c r="R619" s="306">
        <v>1</v>
      </c>
      <c r="S619" s="312">
        <v>82400000</v>
      </c>
      <c r="T619" s="306" t="s">
        <v>900</v>
      </c>
      <c r="U619" s="306" t="s">
        <v>1906</v>
      </c>
      <c r="V619" s="313" t="s">
        <v>308</v>
      </c>
      <c r="W619" s="314">
        <v>10</v>
      </c>
      <c r="X619" s="306" t="s">
        <v>1952</v>
      </c>
      <c r="Y619" s="313">
        <v>43103</v>
      </c>
      <c r="Z619" s="315">
        <v>82400000</v>
      </c>
      <c r="AA619" s="316" t="s">
        <v>63</v>
      </c>
      <c r="AB619" s="317">
        <v>239</v>
      </c>
      <c r="AC619" s="313">
        <v>43105</v>
      </c>
      <c r="AD619" s="312">
        <v>82400000</v>
      </c>
      <c r="AE619" s="318">
        <f t="shared" si="68"/>
        <v>0</v>
      </c>
      <c r="AF619" s="317">
        <v>461</v>
      </c>
      <c r="AG619" s="313">
        <v>43126</v>
      </c>
      <c r="AH619" s="312">
        <v>82400000</v>
      </c>
      <c r="AI619" s="306" t="s">
        <v>1953</v>
      </c>
      <c r="AJ619" s="306">
        <v>388</v>
      </c>
      <c r="AK619" s="318">
        <f t="shared" si="71"/>
        <v>0</v>
      </c>
      <c r="AL619" s="312">
        <f t="shared" si="72"/>
        <v>17853333</v>
      </c>
      <c r="AM619" s="312">
        <f t="shared" si="69"/>
        <v>64546667</v>
      </c>
      <c r="AN619" s="306" t="s">
        <v>1863</v>
      </c>
      <c r="AO619" s="312">
        <f t="shared" si="70"/>
        <v>0</v>
      </c>
      <c r="AP619" s="306"/>
      <c r="AQ619" s="306"/>
      <c r="AR619" s="306"/>
      <c r="AS619" s="306"/>
      <c r="AT619" s="306"/>
    </row>
    <row r="620" spans="1:46" ht="76.5" x14ac:dyDescent="0.25">
      <c r="A620" s="306">
        <v>25</v>
      </c>
      <c r="B620" s="306" t="str">
        <f t="shared" si="67"/>
        <v>3075-25</v>
      </c>
      <c r="C620" s="307" t="s">
        <v>1852</v>
      </c>
      <c r="D620" s="308" t="s">
        <v>1853</v>
      </c>
      <c r="E620" s="308" t="s">
        <v>1854</v>
      </c>
      <c r="F620" s="307" t="s">
        <v>1907</v>
      </c>
      <c r="G620" s="327" t="s">
        <v>1908</v>
      </c>
      <c r="H620" s="310" t="s">
        <v>1909</v>
      </c>
      <c r="I620" s="308" t="s">
        <v>1858</v>
      </c>
      <c r="J620" s="308" t="s">
        <v>1859</v>
      </c>
      <c r="K620" s="308">
        <v>801116</v>
      </c>
      <c r="L620" s="306" t="s">
        <v>1860</v>
      </c>
      <c r="M620" s="306" t="s">
        <v>59</v>
      </c>
      <c r="N620" s="306" t="s">
        <v>60</v>
      </c>
      <c r="O620" s="308" t="s">
        <v>1910</v>
      </c>
      <c r="P620" s="308" t="s">
        <v>1954</v>
      </c>
      <c r="Q620" s="315">
        <v>8240000</v>
      </c>
      <c r="R620" s="306">
        <v>3</v>
      </c>
      <c r="S620" s="312">
        <v>0</v>
      </c>
      <c r="T620" s="306"/>
      <c r="U620" s="306" t="s">
        <v>1906</v>
      </c>
      <c r="V620" s="313"/>
      <c r="W620" s="314">
        <v>10.333333333333334</v>
      </c>
      <c r="X620" s="306"/>
      <c r="Y620" s="313"/>
      <c r="Z620" s="315"/>
      <c r="AA620" s="316"/>
      <c r="AB620" s="317"/>
      <c r="AC620" s="313"/>
      <c r="AD620" s="312"/>
      <c r="AE620" s="318">
        <f t="shared" si="68"/>
        <v>0</v>
      </c>
      <c r="AF620" s="317"/>
      <c r="AG620" s="313"/>
      <c r="AH620" s="312"/>
      <c r="AI620" s="306"/>
      <c r="AJ620" s="306"/>
      <c r="AK620" s="318">
        <f t="shared" si="71"/>
        <v>0</v>
      </c>
      <c r="AL620" s="312">
        <v>0</v>
      </c>
      <c r="AM620" s="312">
        <f t="shared" si="69"/>
        <v>0</v>
      </c>
      <c r="AN620" s="306" t="s">
        <v>1863</v>
      </c>
      <c r="AO620" s="312">
        <f t="shared" si="70"/>
        <v>0</v>
      </c>
      <c r="AP620" s="306"/>
      <c r="AQ620" s="306"/>
      <c r="AR620" s="306"/>
      <c r="AS620" s="306"/>
      <c r="AT620" s="306"/>
    </row>
    <row r="621" spans="1:46" ht="76.5" x14ac:dyDescent="0.25">
      <c r="A621" s="306">
        <v>26</v>
      </c>
      <c r="B621" s="306" t="str">
        <f t="shared" si="67"/>
        <v>3075-26</v>
      </c>
      <c r="C621" s="307" t="s">
        <v>1852</v>
      </c>
      <c r="D621" s="308" t="s">
        <v>1853</v>
      </c>
      <c r="E621" s="308" t="s">
        <v>1854</v>
      </c>
      <c r="F621" s="307" t="s">
        <v>1907</v>
      </c>
      <c r="G621" s="327" t="s">
        <v>1908</v>
      </c>
      <c r="H621" s="310" t="s">
        <v>1909</v>
      </c>
      <c r="I621" s="308" t="s">
        <v>1858</v>
      </c>
      <c r="J621" s="308" t="s">
        <v>1859</v>
      </c>
      <c r="K621" s="308">
        <v>801116</v>
      </c>
      <c r="L621" s="306" t="s">
        <v>1860</v>
      </c>
      <c r="M621" s="306" t="s">
        <v>59</v>
      </c>
      <c r="N621" s="306" t="s">
        <v>60</v>
      </c>
      <c r="O621" s="308" t="s">
        <v>1910</v>
      </c>
      <c r="P621" s="308" t="s">
        <v>1955</v>
      </c>
      <c r="Q621" s="315">
        <v>4120000</v>
      </c>
      <c r="R621" s="306">
        <v>4</v>
      </c>
      <c r="S621" s="312">
        <v>0</v>
      </c>
      <c r="T621" s="306"/>
      <c r="U621" s="306" t="s">
        <v>1906</v>
      </c>
      <c r="V621" s="313"/>
      <c r="W621" s="314">
        <v>9.75</v>
      </c>
      <c r="X621" s="306"/>
      <c r="Y621" s="313"/>
      <c r="Z621" s="315"/>
      <c r="AA621" s="316"/>
      <c r="AB621" s="317"/>
      <c r="AC621" s="313"/>
      <c r="AD621" s="312"/>
      <c r="AE621" s="318">
        <f t="shared" si="68"/>
        <v>0</v>
      </c>
      <c r="AF621" s="317"/>
      <c r="AG621" s="313"/>
      <c r="AH621" s="312"/>
      <c r="AI621" s="306"/>
      <c r="AJ621" s="306"/>
      <c r="AK621" s="318">
        <f t="shared" si="71"/>
        <v>0</v>
      </c>
      <c r="AL621" s="312">
        <v>0</v>
      </c>
      <c r="AM621" s="312">
        <f t="shared" si="69"/>
        <v>0</v>
      </c>
      <c r="AN621" s="306" t="s">
        <v>1863</v>
      </c>
      <c r="AO621" s="312">
        <f t="shared" si="70"/>
        <v>0</v>
      </c>
      <c r="AP621" s="306"/>
      <c r="AQ621" s="306"/>
      <c r="AR621" s="306"/>
      <c r="AS621" s="306"/>
      <c r="AT621" s="306"/>
    </row>
    <row r="622" spans="1:46" ht="76.5" x14ac:dyDescent="0.25">
      <c r="A622" s="306">
        <v>27</v>
      </c>
      <c r="B622" s="306" t="str">
        <f t="shared" si="67"/>
        <v>3075-27</v>
      </c>
      <c r="C622" s="307" t="s">
        <v>1852</v>
      </c>
      <c r="D622" s="308" t="s">
        <v>1853</v>
      </c>
      <c r="E622" s="308" t="s">
        <v>1854</v>
      </c>
      <c r="F622" s="307" t="s">
        <v>1907</v>
      </c>
      <c r="G622" s="327" t="s">
        <v>1908</v>
      </c>
      <c r="H622" s="310" t="s">
        <v>1909</v>
      </c>
      <c r="I622" s="308" t="s">
        <v>1858</v>
      </c>
      <c r="J622" s="308" t="s">
        <v>1859</v>
      </c>
      <c r="K622" s="308">
        <v>801116</v>
      </c>
      <c r="L622" s="306" t="s">
        <v>1860</v>
      </c>
      <c r="M622" s="306" t="s">
        <v>59</v>
      </c>
      <c r="N622" s="306" t="s">
        <v>60</v>
      </c>
      <c r="O622" s="308" t="s">
        <v>1910</v>
      </c>
      <c r="P622" s="328" t="s">
        <v>1926</v>
      </c>
      <c r="Q622" s="315">
        <v>5253000</v>
      </c>
      <c r="R622" s="306">
        <v>1</v>
      </c>
      <c r="S622" s="312">
        <v>47277000</v>
      </c>
      <c r="T622" s="306" t="s">
        <v>900</v>
      </c>
      <c r="U622" s="306" t="s">
        <v>1906</v>
      </c>
      <c r="V622" s="313" t="s">
        <v>308</v>
      </c>
      <c r="W622" s="314">
        <v>9</v>
      </c>
      <c r="X622" s="306" t="s">
        <v>1956</v>
      </c>
      <c r="Y622" s="313">
        <v>43103</v>
      </c>
      <c r="Z622" s="315">
        <v>47277000</v>
      </c>
      <c r="AA622" s="316" t="s">
        <v>63</v>
      </c>
      <c r="AB622" s="317">
        <v>351</v>
      </c>
      <c r="AC622" s="313">
        <v>43110</v>
      </c>
      <c r="AD622" s="312">
        <v>47277000</v>
      </c>
      <c r="AE622" s="318">
        <f t="shared" si="68"/>
        <v>0</v>
      </c>
      <c r="AF622" s="317">
        <v>418</v>
      </c>
      <c r="AG622" s="313">
        <v>43124</v>
      </c>
      <c r="AH622" s="312">
        <v>47277000</v>
      </c>
      <c r="AI622" s="306" t="s">
        <v>1957</v>
      </c>
      <c r="AJ622" s="306">
        <v>369</v>
      </c>
      <c r="AK622" s="318">
        <f t="shared" si="71"/>
        <v>0</v>
      </c>
      <c r="AL622" s="312">
        <f>VLOOKUP(AB622,RP,13,FALSE)</f>
        <v>6303600</v>
      </c>
      <c r="AM622" s="312">
        <f t="shared" si="69"/>
        <v>40973400</v>
      </c>
      <c r="AN622" s="306" t="s">
        <v>1863</v>
      </c>
      <c r="AO622" s="312">
        <f t="shared" si="70"/>
        <v>0</v>
      </c>
      <c r="AP622" s="306"/>
      <c r="AQ622" s="306"/>
      <c r="AR622" s="306"/>
      <c r="AS622" s="306"/>
      <c r="AT622" s="306"/>
    </row>
    <row r="623" spans="1:46" ht="76.5" x14ac:dyDescent="0.25">
      <c r="A623" s="306">
        <v>28</v>
      </c>
      <c r="B623" s="306" t="str">
        <f t="shared" si="67"/>
        <v>3075-28</v>
      </c>
      <c r="C623" s="307" t="s">
        <v>1852</v>
      </c>
      <c r="D623" s="308" t="s">
        <v>1853</v>
      </c>
      <c r="E623" s="308" t="s">
        <v>1854</v>
      </c>
      <c r="F623" s="307" t="s">
        <v>1907</v>
      </c>
      <c r="G623" s="327" t="s">
        <v>1908</v>
      </c>
      <c r="H623" s="310" t="s">
        <v>1909</v>
      </c>
      <c r="I623" s="308" t="s">
        <v>1858</v>
      </c>
      <c r="J623" s="308" t="s">
        <v>1859</v>
      </c>
      <c r="K623" s="308">
        <v>801116</v>
      </c>
      <c r="L623" s="306" t="s">
        <v>1860</v>
      </c>
      <c r="M623" s="306" t="s">
        <v>59</v>
      </c>
      <c r="N623" s="306" t="s">
        <v>60</v>
      </c>
      <c r="O623" s="308" t="s">
        <v>1910</v>
      </c>
      <c r="P623" s="328" t="s">
        <v>1958</v>
      </c>
      <c r="Q623" s="315">
        <v>5036700</v>
      </c>
      <c r="R623" s="306">
        <v>1</v>
      </c>
      <c r="S623" s="312">
        <v>50367000</v>
      </c>
      <c r="T623" s="306" t="s">
        <v>900</v>
      </c>
      <c r="U623" s="306" t="s">
        <v>1906</v>
      </c>
      <c r="V623" s="313" t="s">
        <v>308</v>
      </c>
      <c r="W623" s="314">
        <v>10</v>
      </c>
      <c r="X623" s="306" t="s">
        <v>1959</v>
      </c>
      <c r="Y623" s="313">
        <v>43103</v>
      </c>
      <c r="Z623" s="315">
        <v>50367000</v>
      </c>
      <c r="AA623" s="316" t="s">
        <v>63</v>
      </c>
      <c r="AB623" s="317">
        <v>323</v>
      </c>
      <c r="AC623" s="313">
        <v>43110</v>
      </c>
      <c r="AD623" s="312">
        <v>50367000</v>
      </c>
      <c r="AE623" s="318">
        <f t="shared" si="68"/>
        <v>0</v>
      </c>
      <c r="AF623" s="317">
        <v>230</v>
      </c>
      <c r="AG623" s="313">
        <v>43118</v>
      </c>
      <c r="AH623" s="312">
        <v>50367000</v>
      </c>
      <c r="AI623" s="306" t="s">
        <v>1960</v>
      </c>
      <c r="AJ623" s="306">
        <v>200</v>
      </c>
      <c r="AK623" s="318">
        <f t="shared" si="71"/>
        <v>0</v>
      </c>
      <c r="AL623" s="312">
        <f>VLOOKUP(AB623,RP,13,FALSE)</f>
        <v>12088080</v>
      </c>
      <c r="AM623" s="312">
        <f t="shared" si="69"/>
        <v>38278920</v>
      </c>
      <c r="AN623" s="306" t="s">
        <v>1863</v>
      </c>
      <c r="AO623" s="312">
        <f t="shared" si="70"/>
        <v>0</v>
      </c>
      <c r="AP623" s="306"/>
      <c r="AQ623" s="306"/>
      <c r="AR623" s="306"/>
      <c r="AS623" s="306"/>
      <c r="AT623" s="306"/>
    </row>
    <row r="624" spans="1:46" ht="76.5" x14ac:dyDescent="0.25">
      <c r="A624" s="306">
        <v>29</v>
      </c>
      <c r="B624" s="306" t="str">
        <f t="shared" si="67"/>
        <v>3075-29</v>
      </c>
      <c r="C624" s="307" t="s">
        <v>1852</v>
      </c>
      <c r="D624" s="308" t="s">
        <v>1853</v>
      </c>
      <c r="E624" s="308" t="s">
        <v>1854</v>
      </c>
      <c r="F624" s="307" t="s">
        <v>1907</v>
      </c>
      <c r="G624" s="327" t="s">
        <v>1908</v>
      </c>
      <c r="H624" s="310" t="s">
        <v>1909</v>
      </c>
      <c r="I624" s="308" t="s">
        <v>1858</v>
      </c>
      <c r="J624" s="308" t="s">
        <v>1859</v>
      </c>
      <c r="K624" s="308">
        <v>801116</v>
      </c>
      <c r="L624" s="306" t="s">
        <v>1860</v>
      </c>
      <c r="M624" s="306" t="s">
        <v>59</v>
      </c>
      <c r="N624" s="306" t="s">
        <v>60</v>
      </c>
      <c r="O624" s="308" t="s">
        <v>1910</v>
      </c>
      <c r="P624" s="328" t="s">
        <v>1961</v>
      </c>
      <c r="Q624" s="315">
        <v>1751000</v>
      </c>
      <c r="R624" s="306">
        <v>1</v>
      </c>
      <c r="S624" s="312">
        <v>17510000</v>
      </c>
      <c r="T624" s="306" t="s">
        <v>934</v>
      </c>
      <c r="U624" s="306" t="s">
        <v>1906</v>
      </c>
      <c r="V624" s="313" t="s">
        <v>308</v>
      </c>
      <c r="W624" s="314">
        <v>10</v>
      </c>
      <c r="X624" s="306" t="s">
        <v>1962</v>
      </c>
      <c r="Y624" s="313">
        <v>43102</v>
      </c>
      <c r="Z624" s="315">
        <v>17510000</v>
      </c>
      <c r="AA624" s="316" t="s">
        <v>63</v>
      </c>
      <c r="AB624" s="317">
        <v>208</v>
      </c>
      <c r="AC624" s="313">
        <v>43105</v>
      </c>
      <c r="AD624" s="312">
        <v>17510000</v>
      </c>
      <c r="AE624" s="318">
        <f t="shared" si="68"/>
        <v>0</v>
      </c>
      <c r="AF624" s="317">
        <v>233</v>
      </c>
      <c r="AG624" s="313">
        <v>43119</v>
      </c>
      <c r="AH624" s="312">
        <v>17510000</v>
      </c>
      <c r="AI624" s="306" t="s">
        <v>1963</v>
      </c>
      <c r="AJ624" s="306">
        <v>211</v>
      </c>
      <c r="AK624" s="318">
        <f t="shared" si="71"/>
        <v>0</v>
      </c>
      <c r="AL624" s="312">
        <f>VLOOKUP(AB624,RP,13,FALSE)</f>
        <v>4202400</v>
      </c>
      <c r="AM624" s="312">
        <f t="shared" si="69"/>
        <v>13307600</v>
      </c>
      <c r="AN624" s="306" t="s">
        <v>1863</v>
      </c>
      <c r="AO624" s="312">
        <f t="shared" si="70"/>
        <v>0</v>
      </c>
      <c r="AP624" s="306"/>
      <c r="AQ624" s="306"/>
      <c r="AR624" s="306"/>
      <c r="AS624" s="306"/>
      <c r="AT624" s="306"/>
    </row>
    <row r="625" spans="1:46" ht="76.5" x14ac:dyDescent="0.25">
      <c r="A625" s="306">
        <v>30</v>
      </c>
      <c r="B625" s="306" t="str">
        <f t="shared" si="67"/>
        <v>3075-30</v>
      </c>
      <c r="C625" s="307" t="s">
        <v>1852</v>
      </c>
      <c r="D625" s="308" t="s">
        <v>1853</v>
      </c>
      <c r="E625" s="308" t="s">
        <v>1854</v>
      </c>
      <c r="F625" s="307" t="s">
        <v>1907</v>
      </c>
      <c r="G625" s="327" t="s">
        <v>1908</v>
      </c>
      <c r="H625" s="310" t="s">
        <v>1909</v>
      </c>
      <c r="I625" s="308" t="s">
        <v>1858</v>
      </c>
      <c r="J625" s="308" t="s">
        <v>1859</v>
      </c>
      <c r="K625" s="308">
        <v>801116</v>
      </c>
      <c r="L625" s="306" t="s">
        <v>1860</v>
      </c>
      <c r="M625" s="306" t="s">
        <v>59</v>
      </c>
      <c r="N625" s="306" t="s">
        <v>60</v>
      </c>
      <c r="O625" s="308" t="s">
        <v>1910</v>
      </c>
      <c r="P625" s="308" t="s">
        <v>1964</v>
      </c>
      <c r="Q625" s="315">
        <v>3399000</v>
      </c>
      <c r="R625" s="306">
        <v>4</v>
      </c>
      <c r="S625" s="312">
        <v>16995000</v>
      </c>
      <c r="T625" s="306" t="s">
        <v>900</v>
      </c>
      <c r="U625" s="306" t="s">
        <v>1906</v>
      </c>
      <c r="V625" s="313" t="s">
        <v>308</v>
      </c>
      <c r="W625" s="314">
        <v>9.5</v>
      </c>
      <c r="X625" s="306" t="s">
        <v>1965</v>
      </c>
      <c r="Y625" s="313">
        <v>43111</v>
      </c>
      <c r="Z625" s="315">
        <v>16995000</v>
      </c>
      <c r="AA625" s="316" t="s">
        <v>63</v>
      </c>
      <c r="AB625" s="317">
        <v>469</v>
      </c>
      <c r="AC625" s="313">
        <v>43112</v>
      </c>
      <c r="AD625" s="312">
        <v>16995000</v>
      </c>
      <c r="AE625" s="318">
        <f t="shared" si="68"/>
        <v>0</v>
      </c>
      <c r="AF625" s="317">
        <v>277</v>
      </c>
      <c r="AG625" s="313">
        <v>43122</v>
      </c>
      <c r="AH625" s="312">
        <v>16995000</v>
      </c>
      <c r="AI625" s="306" t="s">
        <v>1966</v>
      </c>
      <c r="AJ625" s="306">
        <v>247</v>
      </c>
      <c r="AK625" s="318">
        <f t="shared" si="71"/>
        <v>0</v>
      </c>
      <c r="AL625" s="312">
        <f>VLOOKUP(AB625,RP,13,FALSE)</f>
        <v>7704400</v>
      </c>
      <c r="AM625" s="312">
        <f t="shared" si="69"/>
        <v>9290600</v>
      </c>
      <c r="AN625" s="306" t="s">
        <v>1863</v>
      </c>
      <c r="AO625" s="312">
        <f t="shared" si="70"/>
        <v>0</v>
      </c>
      <c r="AP625" s="306"/>
      <c r="AQ625" s="306"/>
      <c r="AR625" s="306"/>
      <c r="AS625" s="306"/>
      <c r="AT625" s="306"/>
    </row>
    <row r="626" spans="1:46" ht="76.5" x14ac:dyDescent="0.25">
      <c r="A626" s="306">
        <v>31</v>
      </c>
      <c r="B626" s="306" t="str">
        <f t="shared" si="67"/>
        <v>3075-31</v>
      </c>
      <c r="C626" s="307" t="s">
        <v>1852</v>
      </c>
      <c r="D626" s="308" t="s">
        <v>1853</v>
      </c>
      <c r="E626" s="308" t="s">
        <v>1854</v>
      </c>
      <c r="F626" s="307" t="s">
        <v>1907</v>
      </c>
      <c r="G626" s="327" t="s">
        <v>1908</v>
      </c>
      <c r="H626" s="310" t="s">
        <v>1909</v>
      </c>
      <c r="I626" s="308" t="s">
        <v>1858</v>
      </c>
      <c r="J626" s="308" t="s">
        <v>1859</v>
      </c>
      <c r="K626" s="308">
        <v>801116</v>
      </c>
      <c r="L626" s="306" t="s">
        <v>1860</v>
      </c>
      <c r="M626" s="306" t="s">
        <v>59</v>
      </c>
      <c r="N626" s="306" t="s">
        <v>60</v>
      </c>
      <c r="O626" s="308" t="s">
        <v>1910</v>
      </c>
      <c r="P626" s="308" t="s">
        <v>1967</v>
      </c>
      <c r="Q626" s="315">
        <v>1751000</v>
      </c>
      <c r="R626" s="306">
        <v>4</v>
      </c>
      <c r="S626" s="312">
        <v>0</v>
      </c>
      <c r="T626" s="306"/>
      <c r="U626" s="306" t="s">
        <v>1906</v>
      </c>
      <c r="V626" s="313"/>
      <c r="W626" s="314">
        <v>9.7769999999999992</v>
      </c>
      <c r="X626" s="306"/>
      <c r="Y626" s="313"/>
      <c r="Z626" s="315"/>
      <c r="AA626" s="316"/>
      <c r="AB626" s="317"/>
      <c r="AC626" s="313"/>
      <c r="AD626" s="312"/>
      <c r="AE626" s="318">
        <f t="shared" si="68"/>
        <v>0</v>
      </c>
      <c r="AF626" s="317"/>
      <c r="AG626" s="313"/>
      <c r="AH626" s="312"/>
      <c r="AI626" s="306"/>
      <c r="AJ626" s="306"/>
      <c r="AK626" s="318">
        <f t="shared" si="71"/>
        <v>0</v>
      </c>
      <c r="AL626" s="312">
        <v>0</v>
      </c>
      <c r="AM626" s="312">
        <f t="shared" si="69"/>
        <v>0</v>
      </c>
      <c r="AN626" s="306" t="s">
        <v>1863</v>
      </c>
      <c r="AO626" s="312">
        <f t="shared" si="70"/>
        <v>0</v>
      </c>
      <c r="AP626" s="306"/>
      <c r="AQ626" s="306"/>
      <c r="AR626" s="306"/>
      <c r="AS626" s="306"/>
      <c r="AT626" s="306"/>
    </row>
    <row r="627" spans="1:46" ht="76.5" x14ac:dyDescent="0.25">
      <c r="A627" s="306">
        <v>32</v>
      </c>
      <c r="B627" s="306" t="str">
        <f t="shared" si="67"/>
        <v>3075-32</v>
      </c>
      <c r="C627" s="307" t="s">
        <v>1852</v>
      </c>
      <c r="D627" s="308" t="s">
        <v>1853</v>
      </c>
      <c r="E627" s="308" t="s">
        <v>1854</v>
      </c>
      <c r="F627" s="307" t="s">
        <v>1907</v>
      </c>
      <c r="G627" s="327" t="s">
        <v>1908</v>
      </c>
      <c r="H627" s="310" t="s">
        <v>1909</v>
      </c>
      <c r="I627" s="308" t="s">
        <v>1858</v>
      </c>
      <c r="J627" s="308" t="s">
        <v>1859</v>
      </c>
      <c r="K627" s="308">
        <v>801116</v>
      </c>
      <c r="L627" s="306" t="s">
        <v>1860</v>
      </c>
      <c r="M627" s="306" t="s">
        <v>59</v>
      </c>
      <c r="N627" s="306" t="s">
        <v>60</v>
      </c>
      <c r="O627" s="308" t="s">
        <v>1910</v>
      </c>
      <c r="P627" s="328" t="s">
        <v>1968</v>
      </c>
      <c r="Q627" s="315">
        <v>2472000</v>
      </c>
      <c r="R627" s="306">
        <v>1</v>
      </c>
      <c r="S627" s="312">
        <v>24720000</v>
      </c>
      <c r="T627" s="306" t="s">
        <v>934</v>
      </c>
      <c r="U627" s="306" t="s">
        <v>1906</v>
      </c>
      <c r="V627" s="313" t="s">
        <v>308</v>
      </c>
      <c r="W627" s="314">
        <v>10</v>
      </c>
      <c r="X627" s="306" t="s">
        <v>1969</v>
      </c>
      <c r="Y627" s="313">
        <v>43102</v>
      </c>
      <c r="Z627" s="315">
        <v>24720000</v>
      </c>
      <c r="AA627" s="316" t="s">
        <v>63</v>
      </c>
      <c r="AB627" s="317">
        <v>405</v>
      </c>
      <c r="AC627" s="313">
        <v>43110</v>
      </c>
      <c r="AD627" s="312">
        <v>24720000</v>
      </c>
      <c r="AE627" s="318">
        <f t="shared" si="68"/>
        <v>0</v>
      </c>
      <c r="AF627" s="317">
        <v>390</v>
      </c>
      <c r="AG627" s="313">
        <v>43124</v>
      </c>
      <c r="AH627" s="312">
        <v>24720000</v>
      </c>
      <c r="AI627" s="306" t="s">
        <v>1970</v>
      </c>
      <c r="AJ627" s="306">
        <v>329</v>
      </c>
      <c r="AK627" s="318">
        <f t="shared" si="71"/>
        <v>0</v>
      </c>
      <c r="AL627" s="312">
        <f>VLOOKUP(AB627,RP,13,FALSE)</f>
        <v>5438400</v>
      </c>
      <c r="AM627" s="312">
        <f t="shared" si="69"/>
        <v>19281600</v>
      </c>
      <c r="AN627" s="306" t="s">
        <v>1863</v>
      </c>
      <c r="AO627" s="312">
        <f t="shared" si="70"/>
        <v>0</v>
      </c>
      <c r="AP627" s="306"/>
      <c r="AQ627" s="306"/>
      <c r="AR627" s="306"/>
      <c r="AS627" s="306"/>
      <c r="AT627" s="306"/>
    </row>
    <row r="628" spans="1:46" ht="76.5" x14ac:dyDescent="0.25">
      <c r="A628" s="306">
        <v>33</v>
      </c>
      <c r="B628" s="306" t="str">
        <f t="shared" si="67"/>
        <v>3075-33</v>
      </c>
      <c r="C628" s="307" t="s">
        <v>1852</v>
      </c>
      <c r="D628" s="308" t="s">
        <v>1853</v>
      </c>
      <c r="E628" s="308" t="s">
        <v>1854</v>
      </c>
      <c r="F628" s="307" t="s">
        <v>1907</v>
      </c>
      <c r="G628" s="327" t="s">
        <v>1908</v>
      </c>
      <c r="H628" s="310" t="s">
        <v>1909</v>
      </c>
      <c r="I628" s="308" t="s">
        <v>1858</v>
      </c>
      <c r="J628" s="308" t="s">
        <v>1859</v>
      </c>
      <c r="K628" s="308">
        <v>801116</v>
      </c>
      <c r="L628" s="306" t="s">
        <v>1860</v>
      </c>
      <c r="M628" s="306" t="s">
        <v>59</v>
      </c>
      <c r="N628" s="306" t="s">
        <v>60</v>
      </c>
      <c r="O628" s="308" t="s">
        <v>1910</v>
      </c>
      <c r="P628" s="308" t="s">
        <v>1971</v>
      </c>
      <c r="Q628" s="315">
        <v>2472000</v>
      </c>
      <c r="R628" s="306">
        <v>3</v>
      </c>
      <c r="S628" s="312">
        <v>0</v>
      </c>
      <c r="T628" s="306"/>
      <c r="U628" s="306" t="s">
        <v>1906</v>
      </c>
      <c r="V628" s="313"/>
      <c r="W628" s="314">
        <v>11</v>
      </c>
      <c r="X628" s="306"/>
      <c r="Y628" s="313"/>
      <c r="Z628" s="315"/>
      <c r="AA628" s="316"/>
      <c r="AB628" s="317"/>
      <c r="AC628" s="313"/>
      <c r="AD628" s="312"/>
      <c r="AE628" s="318">
        <f t="shared" si="68"/>
        <v>0</v>
      </c>
      <c r="AF628" s="317"/>
      <c r="AG628" s="313"/>
      <c r="AH628" s="312"/>
      <c r="AI628" s="306"/>
      <c r="AJ628" s="306"/>
      <c r="AK628" s="318">
        <f t="shared" si="71"/>
        <v>0</v>
      </c>
      <c r="AL628" s="312">
        <v>0</v>
      </c>
      <c r="AM628" s="312">
        <f t="shared" si="69"/>
        <v>0</v>
      </c>
      <c r="AN628" s="306" t="s">
        <v>1863</v>
      </c>
      <c r="AO628" s="312">
        <f t="shared" si="70"/>
        <v>0</v>
      </c>
      <c r="AP628" s="306"/>
      <c r="AQ628" s="306"/>
      <c r="AR628" s="306"/>
      <c r="AS628" s="306"/>
      <c r="AT628" s="306"/>
    </row>
    <row r="629" spans="1:46" ht="76.5" x14ac:dyDescent="0.25">
      <c r="A629" s="306">
        <v>34</v>
      </c>
      <c r="B629" s="306" t="str">
        <f t="shared" si="67"/>
        <v>3075-34</v>
      </c>
      <c r="C629" s="307" t="s">
        <v>1852</v>
      </c>
      <c r="D629" s="308" t="s">
        <v>1853</v>
      </c>
      <c r="E629" s="308" t="s">
        <v>1854</v>
      </c>
      <c r="F629" s="307" t="s">
        <v>1907</v>
      </c>
      <c r="G629" s="327" t="s">
        <v>1908</v>
      </c>
      <c r="H629" s="310" t="s">
        <v>1909</v>
      </c>
      <c r="I629" s="308" t="s">
        <v>1858</v>
      </c>
      <c r="J629" s="308" t="s">
        <v>1859</v>
      </c>
      <c r="K629" s="308">
        <v>801116</v>
      </c>
      <c r="L629" s="306" t="s">
        <v>1860</v>
      </c>
      <c r="M629" s="306" t="s">
        <v>59</v>
      </c>
      <c r="N629" s="306" t="s">
        <v>60</v>
      </c>
      <c r="O629" s="308" t="s">
        <v>1910</v>
      </c>
      <c r="P629" s="308" t="s">
        <v>1972</v>
      </c>
      <c r="Q629" s="315">
        <v>3038500</v>
      </c>
      <c r="R629" s="306">
        <v>1</v>
      </c>
      <c r="S629" s="312">
        <v>30385000</v>
      </c>
      <c r="T629" s="306" t="s">
        <v>934</v>
      </c>
      <c r="U629" s="306" t="s">
        <v>1906</v>
      </c>
      <c r="V629" s="313" t="s">
        <v>308</v>
      </c>
      <c r="W629" s="314">
        <v>10</v>
      </c>
      <c r="X629" s="306" t="s">
        <v>1973</v>
      </c>
      <c r="Y629" s="313">
        <v>43102</v>
      </c>
      <c r="Z629" s="315">
        <v>30385000</v>
      </c>
      <c r="AA629" s="316" t="s">
        <v>63</v>
      </c>
      <c r="AB629" s="317">
        <v>199</v>
      </c>
      <c r="AC629" s="313">
        <v>43105</v>
      </c>
      <c r="AD629" s="312">
        <v>30385000</v>
      </c>
      <c r="AE629" s="318">
        <f t="shared" si="68"/>
        <v>0</v>
      </c>
      <c r="AF629" s="317">
        <v>171</v>
      </c>
      <c r="AG629" s="313">
        <v>43118</v>
      </c>
      <c r="AH629" s="312">
        <v>30385000</v>
      </c>
      <c r="AI629" s="306" t="s">
        <v>1974</v>
      </c>
      <c r="AJ629" s="306">
        <v>154</v>
      </c>
      <c r="AK629" s="318">
        <f t="shared" si="71"/>
        <v>0</v>
      </c>
      <c r="AL629" s="312">
        <f t="shared" ref="AL629:AL634" si="73">VLOOKUP(AB629,RP,13,FALSE)</f>
        <v>4355183</v>
      </c>
      <c r="AM629" s="312">
        <f t="shared" si="69"/>
        <v>26029817</v>
      </c>
      <c r="AN629" s="306" t="s">
        <v>1863</v>
      </c>
      <c r="AO629" s="312">
        <f t="shared" si="70"/>
        <v>0</v>
      </c>
      <c r="AP629" s="306"/>
      <c r="AQ629" s="306"/>
      <c r="AR629" s="306"/>
      <c r="AS629" s="306"/>
      <c r="AT629" s="306"/>
    </row>
    <row r="630" spans="1:46" ht="76.5" x14ac:dyDescent="0.25">
      <c r="A630" s="306">
        <v>35</v>
      </c>
      <c r="B630" s="306" t="str">
        <f t="shared" si="67"/>
        <v>3075-35</v>
      </c>
      <c r="C630" s="307" t="s">
        <v>1852</v>
      </c>
      <c r="D630" s="308" t="s">
        <v>1853</v>
      </c>
      <c r="E630" s="308" t="s">
        <v>1854</v>
      </c>
      <c r="F630" s="307" t="s">
        <v>1907</v>
      </c>
      <c r="G630" s="327" t="s">
        <v>1908</v>
      </c>
      <c r="H630" s="310" t="s">
        <v>1909</v>
      </c>
      <c r="I630" s="308" t="s">
        <v>1858</v>
      </c>
      <c r="J630" s="308" t="s">
        <v>1859</v>
      </c>
      <c r="K630" s="308">
        <v>801116</v>
      </c>
      <c r="L630" s="306" t="s">
        <v>1860</v>
      </c>
      <c r="M630" s="306" t="s">
        <v>59</v>
      </c>
      <c r="N630" s="306" t="s">
        <v>60</v>
      </c>
      <c r="O630" s="308" t="s">
        <v>1910</v>
      </c>
      <c r="P630" s="308" t="s">
        <v>1968</v>
      </c>
      <c r="Q630" s="315">
        <v>3038500</v>
      </c>
      <c r="R630" s="306">
        <v>1</v>
      </c>
      <c r="S630" s="312">
        <v>30385000</v>
      </c>
      <c r="T630" s="306" t="s">
        <v>934</v>
      </c>
      <c r="U630" s="306" t="s">
        <v>1906</v>
      </c>
      <c r="V630" s="313" t="s">
        <v>308</v>
      </c>
      <c r="W630" s="314">
        <v>10</v>
      </c>
      <c r="X630" s="306" t="s">
        <v>1975</v>
      </c>
      <c r="Y630" s="313">
        <v>43102</v>
      </c>
      <c r="Z630" s="315">
        <v>30385000</v>
      </c>
      <c r="AA630" s="316" t="s">
        <v>63</v>
      </c>
      <c r="AB630" s="317">
        <v>344</v>
      </c>
      <c r="AC630" s="313">
        <v>43110</v>
      </c>
      <c r="AD630" s="312">
        <v>30385000</v>
      </c>
      <c r="AE630" s="318">
        <f t="shared" si="68"/>
        <v>0</v>
      </c>
      <c r="AF630" s="317">
        <v>349</v>
      </c>
      <c r="AG630" s="313">
        <v>43123</v>
      </c>
      <c r="AH630" s="312">
        <v>30385000</v>
      </c>
      <c r="AI630" s="306" t="s">
        <v>1976</v>
      </c>
      <c r="AJ630" s="306">
        <v>350</v>
      </c>
      <c r="AK630" s="318">
        <f t="shared" si="71"/>
        <v>0</v>
      </c>
      <c r="AL630" s="312">
        <f t="shared" si="73"/>
        <v>6684700</v>
      </c>
      <c r="AM630" s="312">
        <f t="shared" si="69"/>
        <v>23700300</v>
      </c>
      <c r="AN630" s="306" t="s">
        <v>1863</v>
      </c>
      <c r="AO630" s="312">
        <f t="shared" si="70"/>
        <v>0</v>
      </c>
      <c r="AP630" s="306"/>
      <c r="AQ630" s="306"/>
      <c r="AR630" s="306"/>
      <c r="AS630" s="306"/>
      <c r="AT630" s="306"/>
    </row>
    <row r="631" spans="1:46" ht="76.5" x14ac:dyDescent="0.25">
      <c r="A631" s="306">
        <v>36</v>
      </c>
      <c r="B631" s="306" t="str">
        <f t="shared" si="67"/>
        <v>3075-36</v>
      </c>
      <c r="C631" s="307" t="s">
        <v>1852</v>
      </c>
      <c r="D631" s="308" t="s">
        <v>1853</v>
      </c>
      <c r="E631" s="308" t="s">
        <v>1854</v>
      </c>
      <c r="F631" s="307" t="s">
        <v>1907</v>
      </c>
      <c r="G631" s="327" t="s">
        <v>1908</v>
      </c>
      <c r="H631" s="310" t="s">
        <v>1909</v>
      </c>
      <c r="I631" s="308" t="s">
        <v>1858</v>
      </c>
      <c r="J631" s="308" t="s">
        <v>1859</v>
      </c>
      <c r="K631" s="308">
        <v>801116</v>
      </c>
      <c r="L631" s="306" t="s">
        <v>1860</v>
      </c>
      <c r="M631" s="306" t="s">
        <v>59</v>
      </c>
      <c r="N631" s="306" t="s">
        <v>60</v>
      </c>
      <c r="O631" s="308" t="s">
        <v>1910</v>
      </c>
      <c r="P631" s="308" t="s">
        <v>1971</v>
      </c>
      <c r="Q631" s="315">
        <v>3038500</v>
      </c>
      <c r="R631" s="306">
        <v>1</v>
      </c>
      <c r="S631" s="312">
        <v>33423500</v>
      </c>
      <c r="T631" s="306" t="s">
        <v>934</v>
      </c>
      <c r="U631" s="306" t="s">
        <v>1906</v>
      </c>
      <c r="V631" s="313" t="s">
        <v>308</v>
      </c>
      <c r="W631" s="314">
        <v>11</v>
      </c>
      <c r="X631" s="306" t="s">
        <v>1977</v>
      </c>
      <c r="Y631" s="313">
        <v>43102</v>
      </c>
      <c r="Z631" s="315">
        <v>33423500</v>
      </c>
      <c r="AA631" s="316" t="s">
        <v>63</v>
      </c>
      <c r="AB631" s="317">
        <v>390</v>
      </c>
      <c r="AC631" s="313">
        <v>43110</v>
      </c>
      <c r="AD631" s="312">
        <v>33423500</v>
      </c>
      <c r="AE631" s="318">
        <f t="shared" si="68"/>
        <v>0</v>
      </c>
      <c r="AF631" s="317">
        <v>212</v>
      </c>
      <c r="AG631" s="313">
        <v>43118</v>
      </c>
      <c r="AH631" s="312">
        <v>33423500</v>
      </c>
      <c r="AI631" s="306" t="s">
        <v>1978</v>
      </c>
      <c r="AJ631" s="306">
        <v>184</v>
      </c>
      <c r="AK631" s="318">
        <f t="shared" si="71"/>
        <v>0</v>
      </c>
      <c r="AL631" s="312">
        <f t="shared" si="73"/>
        <v>7292400</v>
      </c>
      <c r="AM631" s="312">
        <f t="shared" si="69"/>
        <v>26131100</v>
      </c>
      <c r="AN631" s="306" t="s">
        <v>1863</v>
      </c>
      <c r="AO631" s="312">
        <f t="shared" si="70"/>
        <v>0</v>
      </c>
      <c r="AP631" s="306"/>
      <c r="AQ631" s="306"/>
      <c r="AR631" s="306"/>
      <c r="AS631" s="306"/>
      <c r="AT631" s="306"/>
    </row>
    <row r="632" spans="1:46" ht="89.25" x14ac:dyDescent="0.25">
      <c r="A632" s="306">
        <v>37</v>
      </c>
      <c r="B632" s="306" t="str">
        <f t="shared" si="67"/>
        <v>3075-37</v>
      </c>
      <c r="C632" s="307" t="s">
        <v>1852</v>
      </c>
      <c r="D632" s="308" t="s">
        <v>1853</v>
      </c>
      <c r="E632" s="308" t="s">
        <v>1854</v>
      </c>
      <c r="F632" s="307" t="s">
        <v>1907</v>
      </c>
      <c r="G632" s="327" t="s">
        <v>1908</v>
      </c>
      <c r="H632" s="310" t="s">
        <v>1909</v>
      </c>
      <c r="I632" s="308" t="s">
        <v>1858</v>
      </c>
      <c r="J632" s="308" t="s">
        <v>1859</v>
      </c>
      <c r="K632" s="308">
        <v>801116</v>
      </c>
      <c r="L632" s="306" t="s">
        <v>1860</v>
      </c>
      <c r="M632" s="306" t="s">
        <v>59</v>
      </c>
      <c r="N632" s="306" t="s">
        <v>60</v>
      </c>
      <c r="O632" s="308" t="s">
        <v>1910</v>
      </c>
      <c r="P632" s="308" t="s">
        <v>1979</v>
      </c>
      <c r="Q632" s="315">
        <v>6180000</v>
      </c>
      <c r="R632" s="306">
        <v>1</v>
      </c>
      <c r="S632" s="312">
        <v>67980000</v>
      </c>
      <c r="T632" s="306" t="s">
        <v>900</v>
      </c>
      <c r="U632" s="306" t="s">
        <v>1906</v>
      </c>
      <c r="V632" s="313" t="s">
        <v>308</v>
      </c>
      <c r="W632" s="314">
        <v>11</v>
      </c>
      <c r="X632" s="306" t="s">
        <v>1980</v>
      </c>
      <c r="Y632" s="313">
        <v>43103</v>
      </c>
      <c r="Z632" s="315">
        <v>67980000</v>
      </c>
      <c r="AA632" s="316" t="s">
        <v>63</v>
      </c>
      <c r="AB632" s="317">
        <v>334</v>
      </c>
      <c r="AC632" s="313">
        <v>43110</v>
      </c>
      <c r="AD632" s="312">
        <v>67980000</v>
      </c>
      <c r="AE632" s="318">
        <f t="shared" si="68"/>
        <v>0</v>
      </c>
      <c r="AF632" s="317">
        <v>192</v>
      </c>
      <c r="AG632" s="313">
        <v>43118</v>
      </c>
      <c r="AH632" s="312">
        <v>67980000</v>
      </c>
      <c r="AI632" s="306" t="s">
        <v>1981</v>
      </c>
      <c r="AJ632" s="306">
        <v>165</v>
      </c>
      <c r="AK632" s="318">
        <f t="shared" si="71"/>
        <v>0</v>
      </c>
      <c r="AL632" s="312">
        <f t="shared" si="73"/>
        <v>14832000</v>
      </c>
      <c r="AM632" s="312">
        <f t="shared" si="69"/>
        <v>53148000</v>
      </c>
      <c r="AN632" s="306" t="s">
        <v>1863</v>
      </c>
      <c r="AO632" s="312">
        <f t="shared" si="70"/>
        <v>0</v>
      </c>
      <c r="AP632" s="306"/>
      <c r="AQ632" s="306"/>
      <c r="AR632" s="306"/>
      <c r="AS632" s="306"/>
      <c r="AT632" s="306"/>
    </row>
    <row r="633" spans="1:46" ht="76.5" x14ac:dyDescent="0.25">
      <c r="A633" s="306">
        <v>38</v>
      </c>
      <c r="B633" s="306" t="str">
        <f t="shared" si="67"/>
        <v>3075-38</v>
      </c>
      <c r="C633" s="307" t="s">
        <v>1852</v>
      </c>
      <c r="D633" s="308" t="s">
        <v>1853</v>
      </c>
      <c r="E633" s="308" t="s">
        <v>1854</v>
      </c>
      <c r="F633" s="307" t="s">
        <v>1907</v>
      </c>
      <c r="G633" s="327" t="s">
        <v>1908</v>
      </c>
      <c r="H633" s="310" t="s">
        <v>1909</v>
      </c>
      <c r="I633" s="308" t="s">
        <v>1858</v>
      </c>
      <c r="J633" s="308" t="s">
        <v>1859</v>
      </c>
      <c r="K633" s="308">
        <v>801116</v>
      </c>
      <c r="L633" s="306" t="s">
        <v>1860</v>
      </c>
      <c r="M633" s="306" t="s">
        <v>59</v>
      </c>
      <c r="N633" s="306" t="s">
        <v>60</v>
      </c>
      <c r="O633" s="308" t="s">
        <v>1910</v>
      </c>
      <c r="P633" s="308" t="s">
        <v>1982</v>
      </c>
      <c r="Q633" s="315">
        <v>4120000</v>
      </c>
      <c r="R633" s="306">
        <v>8</v>
      </c>
      <c r="S633" s="312">
        <v>24720000</v>
      </c>
      <c r="T633" s="306" t="s">
        <v>900</v>
      </c>
      <c r="U633" s="306" t="s">
        <v>1906</v>
      </c>
      <c r="V633" s="313" t="s">
        <v>308</v>
      </c>
      <c r="W633" s="314">
        <v>9.75</v>
      </c>
      <c r="X633" s="306" t="s">
        <v>1983</v>
      </c>
      <c r="Y633" s="313">
        <v>43111</v>
      </c>
      <c r="Z633" s="315">
        <v>24720000</v>
      </c>
      <c r="AA633" s="316" t="s">
        <v>63</v>
      </c>
      <c r="AB633" s="317">
        <v>470</v>
      </c>
      <c r="AC633" s="313">
        <v>43112</v>
      </c>
      <c r="AD633" s="312">
        <v>24720000</v>
      </c>
      <c r="AE633" s="318">
        <f t="shared" si="68"/>
        <v>0</v>
      </c>
      <c r="AF633" s="317">
        <v>243</v>
      </c>
      <c r="AG633" s="313">
        <v>43119</v>
      </c>
      <c r="AH633" s="312">
        <v>24720000</v>
      </c>
      <c r="AI633" s="306" t="s">
        <v>1984</v>
      </c>
      <c r="AJ633" s="306">
        <v>218</v>
      </c>
      <c r="AK633" s="318">
        <f t="shared" si="71"/>
        <v>0</v>
      </c>
      <c r="AL633" s="312">
        <f t="shared" si="73"/>
        <v>9888000</v>
      </c>
      <c r="AM633" s="312">
        <f t="shared" si="69"/>
        <v>14832000</v>
      </c>
      <c r="AN633" s="306" t="s">
        <v>1863</v>
      </c>
      <c r="AO633" s="312">
        <f t="shared" si="70"/>
        <v>0</v>
      </c>
      <c r="AP633" s="306"/>
      <c r="AQ633" s="306"/>
      <c r="AR633" s="306"/>
      <c r="AS633" s="306"/>
      <c r="AT633" s="306"/>
    </row>
    <row r="634" spans="1:46" ht="89.25" x14ac:dyDescent="0.25">
      <c r="A634" s="306">
        <v>39</v>
      </c>
      <c r="B634" s="306" t="str">
        <f t="shared" si="67"/>
        <v>3075-39</v>
      </c>
      <c r="C634" s="307" t="s">
        <v>1852</v>
      </c>
      <c r="D634" s="308" t="s">
        <v>1853</v>
      </c>
      <c r="E634" s="308" t="s">
        <v>1854</v>
      </c>
      <c r="F634" s="307" t="s">
        <v>1907</v>
      </c>
      <c r="G634" s="327" t="s">
        <v>1908</v>
      </c>
      <c r="H634" s="310" t="s">
        <v>1909</v>
      </c>
      <c r="I634" s="308" t="s">
        <v>1858</v>
      </c>
      <c r="J634" s="308" t="s">
        <v>1859</v>
      </c>
      <c r="K634" s="308">
        <v>801116</v>
      </c>
      <c r="L634" s="306" t="s">
        <v>1860</v>
      </c>
      <c r="M634" s="306" t="s">
        <v>59</v>
      </c>
      <c r="N634" s="306" t="s">
        <v>60</v>
      </c>
      <c r="O634" s="308" t="s">
        <v>1910</v>
      </c>
      <c r="P634" s="329" t="s">
        <v>1985</v>
      </c>
      <c r="Q634" s="315">
        <v>4120000</v>
      </c>
      <c r="R634" s="306">
        <v>1</v>
      </c>
      <c r="S634" s="312">
        <v>41200000</v>
      </c>
      <c r="T634" s="306" t="s">
        <v>900</v>
      </c>
      <c r="U634" s="306" t="s">
        <v>1906</v>
      </c>
      <c r="V634" s="313" t="s">
        <v>308</v>
      </c>
      <c r="W634" s="314">
        <v>10</v>
      </c>
      <c r="X634" s="306" t="s">
        <v>1986</v>
      </c>
      <c r="Y634" s="313">
        <v>43102</v>
      </c>
      <c r="Z634" s="315">
        <v>41200000</v>
      </c>
      <c r="AA634" s="316" t="s">
        <v>63</v>
      </c>
      <c r="AB634" s="317">
        <v>314</v>
      </c>
      <c r="AC634" s="313">
        <v>43110</v>
      </c>
      <c r="AD634" s="312">
        <v>41200000</v>
      </c>
      <c r="AE634" s="318">
        <f t="shared" si="68"/>
        <v>0</v>
      </c>
      <c r="AF634" s="317">
        <v>325</v>
      </c>
      <c r="AG634" s="313">
        <v>43123</v>
      </c>
      <c r="AH634" s="312">
        <v>41200000</v>
      </c>
      <c r="AI634" s="306" t="s">
        <v>1987</v>
      </c>
      <c r="AJ634" s="306">
        <v>286</v>
      </c>
      <c r="AK634" s="318">
        <f t="shared" si="71"/>
        <v>0</v>
      </c>
      <c r="AL634" s="312">
        <f t="shared" si="73"/>
        <v>9338667</v>
      </c>
      <c r="AM634" s="312">
        <f t="shared" si="69"/>
        <v>31861333</v>
      </c>
      <c r="AN634" s="306" t="s">
        <v>1863</v>
      </c>
      <c r="AO634" s="312">
        <f t="shared" si="70"/>
        <v>0</v>
      </c>
      <c r="AP634" s="306"/>
      <c r="AQ634" s="306"/>
      <c r="AR634" s="306"/>
      <c r="AS634" s="306"/>
      <c r="AT634" s="306"/>
    </row>
    <row r="635" spans="1:46" ht="76.5" x14ac:dyDescent="0.25">
      <c r="A635" s="306">
        <v>40</v>
      </c>
      <c r="B635" s="306" t="str">
        <f t="shared" si="67"/>
        <v>3075-40</v>
      </c>
      <c r="C635" s="307" t="s">
        <v>1852</v>
      </c>
      <c r="D635" s="308" t="s">
        <v>1853</v>
      </c>
      <c r="E635" s="308" t="s">
        <v>1854</v>
      </c>
      <c r="F635" s="307" t="s">
        <v>1907</v>
      </c>
      <c r="G635" s="327" t="s">
        <v>1908</v>
      </c>
      <c r="H635" s="310" t="s">
        <v>1909</v>
      </c>
      <c r="I635" s="308" t="s">
        <v>1858</v>
      </c>
      <c r="J635" s="308" t="s">
        <v>1859</v>
      </c>
      <c r="K635" s="308">
        <v>801116</v>
      </c>
      <c r="L635" s="306" t="s">
        <v>1860</v>
      </c>
      <c r="M635" s="306" t="s">
        <v>59</v>
      </c>
      <c r="N635" s="306" t="s">
        <v>60</v>
      </c>
      <c r="O635" s="308" t="s">
        <v>1910</v>
      </c>
      <c r="P635" s="308" t="s">
        <v>1988</v>
      </c>
      <c r="Q635" s="315">
        <v>4120000</v>
      </c>
      <c r="R635" s="306">
        <v>4</v>
      </c>
      <c r="S635" s="312">
        <v>0</v>
      </c>
      <c r="T635" s="306"/>
      <c r="U635" s="306" t="s">
        <v>1906</v>
      </c>
      <c r="V635" s="313"/>
      <c r="W635" s="314">
        <v>9.25</v>
      </c>
      <c r="X635" s="306"/>
      <c r="Y635" s="313"/>
      <c r="Z635" s="315"/>
      <c r="AA635" s="316"/>
      <c r="AB635" s="317"/>
      <c r="AC635" s="313"/>
      <c r="AD635" s="312"/>
      <c r="AE635" s="318">
        <f t="shared" si="68"/>
        <v>0</v>
      </c>
      <c r="AF635" s="317"/>
      <c r="AG635" s="313"/>
      <c r="AH635" s="312"/>
      <c r="AI635" s="306"/>
      <c r="AJ635" s="306"/>
      <c r="AK635" s="318">
        <f t="shared" si="71"/>
        <v>0</v>
      </c>
      <c r="AL635" s="312">
        <v>0</v>
      </c>
      <c r="AM635" s="312">
        <f t="shared" si="69"/>
        <v>0</v>
      </c>
      <c r="AN635" s="306" t="s">
        <v>1863</v>
      </c>
      <c r="AO635" s="312">
        <f t="shared" si="70"/>
        <v>0</v>
      </c>
      <c r="AP635" s="306"/>
      <c r="AQ635" s="306"/>
      <c r="AR635" s="306"/>
      <c r="AS635" s="306"/>
      <c r="AT635" s="306"/>
    </row>
    <row r="636" spans="1:46" ht="89.25" x14ac:dyDescent="0.25">
      <c r="A636" s="306">
        <v>41</v>
      </c>
      <c r="B636" s="306" t="str">
        <f t="shared" si="67"/>
        <v>3075-41</v>
      </c>
      <c r="C636" s="307" t="s">
        <v>1852</v>
      </c>
      <c r="D636" s="308" t="s">
        <v>1853</v>
      </c>
      <c r="E636" s="308" t="s">
        <v>1854</v>
      </c>
      <c r="F636" s="307" t="s">
        <v>1907</v>
      </c>
      <c r="G636" s="327" t="s">
        <v>1908</v>
      </c>
      <c r="H636" s="310" t="s">
        <v>1909</v>
      </c>
      <c r="I636" s="308" t="s">
        <v>1858</v>
      </c>
      <c r="J636" s="308" t="s">
        <v>1859</v>
      </c>
      <c r="K636" s="308">
        <v>801116</v>
      </c>
      <c r="L636" s="306" t="s">
        <v>1860</v>
      </c>
      <c r="M636" s="306" t="s">
        <v>59</v>
      </c>
      <c r="N636" s="306" t="s">
        <v>60</v>
      </c>
      <c r="O636" s="308" t="s">
        <v>1910</v>
      </c>
      <c r="P636" s="308" t="s">
        <v>1989</v>
      </c>
      <c r="Q636" s="315">
        <v>4120000</v>
      </c>
      <c r="R636" s="306">
        <v>2</v>
      </c>
      <c r="S636" s="312">
        <v>0</v>
      </c>
      <c r="T636" s="306"/>
      <c r="U636" s="306" t="s">
        <v>1906</v>
      </c>
      <c r="V636" s="313"/>
      <c r="W636" s="314">
        <v>9</v>
      </c>
      <c r="X636" s="306"/>
      <c r="Y636" s="313"/>
      <c r="Z636" s="315"/>
      <c r="AA636" s="316"/>
      <c r="AB636" s="317"/>
      <c r="AC636" s="313"/>
      <c r="AD636" s="312"/>
      <c r="AE636" s="318">
        <f t="shared" si="68"/>
        <v>0</v>
      </c>
      <c r="AF636" s="317"/>
      <c r="AG636" s="313"/>
      <c r="AH636" s="312"/>
      <c r="AI636" s="306"/>
      <c r="AJ636" s="306"/>
      <c r="AK636" s="318">
        <f t="shared" si="71"/>
        <v>0</v>
      </c>
      <c r="AL636" s="312">
        <v>0</v>
      </c>
      <c r="AM636" s="312">
        <f t="shared" si="69"/>
        <v>0</v>
      </c>
      <c r="AN636" s="306" t="s">
        <v>1863</v>
      </c>
      <c r="AO636" s="312">
        <f t="shared" si="70"/>
        <v>0</v>
      </c>
      <c r="AP636" s="306"/>
      <c r="AQ636" s="306"/>
      <c r="AR636" s="306"/>
      <c r="AS636" s="306"/>
      <c r="AT636" s="306"/>
    </row>
    <row r="637" spans="1:46" ht="76.5" x14ac:dyDescent="0.25">
      <c r="A637" s="306">
        <v>42</v>
      </c>
      <c r="B637" s="306" t="str">
        <f t="shared" si="67"/>
        <v>3075-42</v>
      </c>
      <c r="C637" s="307" t="s">
        <v>1852</v>
      </c>
      <c r="D637" s="308" t="s">
        <v>1853</v>
      </c>
      <c r="E637" s="308" t="s">
        <v>1854</v>
      </c>
      <c r="F637" s="307" t="s">
        <v>1907</v>
      </c>
      <c r="G637" s="327" t="s">
        <v>1908</v>
      </c>
      <c r="H637" s="310" t="s">
        <v>1909</v>
      </c>
      <c r="I637" s="308" t="s">
        <v>1858</v>
      </c>
      <c r="J637" s="308" t="s">
        <v>1859</v>
      </c>
      <c r="K637" s="308">
        <v>801116</v>
      </c>
      <c r="L637" s="306" t="s">
        <v>1860</v>
      </c>
      <c r="M637" s="306" t="s">
        <v>59</v>
      </c>
      <c r="N637" s="306" t="s">
        <v>60</v>
      </c>
      <c r="O637" s="308" t="s">
        <v>1910</v>
      </c>
      <c r="P637" s="308" t="s">
        <v>1990</v>
      </c>
      <c r="Q637" s="315">
        <v>5036700</v>
      </c>
      <c r="R637" s="306">
        <v>1</v>
      </c>
      <c r="S637" s="312">
        <v>55403700</v>
      </c>
      <c r="T637" s="306" t="s">
        <v>900</v>
      </c>
      <c r="U637" s="306" t="s">
        <v>1906</v>
      </c>
      <c r="V637" s="313" t="s">
        <v>308</v>
      </c>
      <c r="W637" s="314">
        <v>11</v>
      </c>
      <c r="X637" s="306" t="s">
        <v>1991</v>
      </c>
      <c r="Y637" s="313">
        <v>43103</v>
      </c>
      <c r="Z637" s="315">
        <v>55403700</v>
      </c>
      <c r="AA637" s="316" t="s">
        <v>63</v>
      </c>
      <c r="AB637" s="317">
        <v>346</v>
      </c>
      <c r="AC637" s="313">
        <v>43110</v>
      </c>
      <c r="AD637" s="312">
        <v>55403700</v>
      </c>
      <c r="AE637" s="318">
        <f t="shared" si="68"/>
        <v>0</v>
      </c>
      <c r="AF637" s="317">
        <v>194</v>
      </c>
      <c r="AG637" s="313">
        <v>43118</v>
      </c>
      <c r="AH637" s="312">
        <v>55403700</v>
      </c>
      <c r="AI637" s="306" t="s">
        <v>1992</v>
      </c>
      <c r="AJ637" s="306">
        <v>162</v>
      </c>
      <c r="AK637" s="318">
        <f t="shared" si="71"/>
        <v>0</v>
      </c>
      <c r="AL637" s="312">
        <f>VLOOKUP(AB637,RP,13,FALSE)</f>
        <v>12088080</v>
      </c>
      <c r="AM637" s="312">
        <f t="shared" si="69"/>
        <v>43315620</v>
      </c>
      <c r="AN637" s="306" t="s">
        <v>1863</v>
      </c>
      <c r="AO637" s="312">
        <f t="shared" si="70"/>
        <v>0</v>
      </c>
      <c r="AP637" s="306"/>
      <c r="AQ637" s="306"/>
      <c r="AR637" s="306"/>
      <c r="AS637" s="306"/>
      <c r="AT637" s="306"/>
    </row>
    <row r="638" spans="1:46" ht="76.5" x14ac:dyDescent="0.25">
      <c r="A638" s="306">
        <v>43</v>
      </c>
      <c r="B638" s="306" t="str">
        <f t="shared" si="67"/>
        <v>3075-43</v>
      </c>
      <c r="C638" s="307" t="s">
        <v>1852</v>
      </c>
      <c r="D638" s="308" t="s">
        <v>1853</v>
      </c>
      <c r="E638" s="308" t="s">
        <v>1854</v>
      </c>
      <c r="F638" s="307" t="s">
        <v>1907</v>
      </c>
      <c r="G638" s="327" t="s">
        <v>1908</v>
      </c>
      <c r="H638" s="310" t="s">
        <v>1909</v>
      </c>
      <c r="I638" s="308" t="s">
        <v>1858</v>
      </c>
      <c r="J638" s="308" t="s">
        <v>1859</v>
      </c>
      <c r="K638" s="308">
        <v>801116</v>
      </c>
      <c r="L638" s="306" t="s">
        <v>1860</v>
      </c>
      <c r="M638" s="306" t="s">
        <v>59</v>
      </c>
      <c r="N638" s="306" t="s">
        <v>60</v>
      </c>
      <c r="O638" s="308" t="s">
        <v>1910</v>
      </c>
      <c r="P638" s="308" t="s">
        <v>1993</v>
      </c>
      <c r="Q638" s="315">
        <v>5665000</v>
      </c>
      <c r="R638" s="306">
        <v>1</v>
      </c>
      <c r="S638" s="312">
        <v>45320000</v>
      </c>
      <c r="T638" s="306" t="s">
        <v>900</v>
      </c>
      <c r="U638" s="306" t="s">
        <v>1906</v>
      </c>
      <c r="V638" s="313" t="s">
        <v>308</v>
      </c>
      <c r="W638" s="314">
        <v>8</v>
      </c>
      <c r="X638" s="306" t="s">
        <v>1994</v>
      </c>
      <c r="Y638" s="313">
        <v>43103</v>
      </c>
      <c r="Z638" s="315">
        <v>45320000</v>
      </c>
      <c r="AA638" s="316" t="s">
        <v>63</v>
      </c>
      <c r="AB638" s="317">
        <v>355</v>
      </c>
      <c r="AC638" s="313">
        <v>43110</v>
      </c>
      <c r="AD638" s="312">
        <v>45320000</v>
      </c>
      <c r="AE638" s="318">
        <f t="shared" si="68"/>
        <v>0</v>
      </c>
      <c r="AF638" s="317">
        <v>139</v>
      </c>
      <c r="AG638" s="313">
        <v>43117</v>
      </c>
      <c r="AH638" s="312">
        <v>45320000</v>
      </c>
      <c r="AI638" s="306" t="s">
        <v>1995</v>
      </c>
      <c r="AJ638" s="306">
        <v>146</v>
      </c>
      <c r="AK638" s="318">
        <f t="shared" si="71"/>
        <v>0</v>
      </c>
      <c r="AL638" s="312">
        <f>VLOOKUP(AB638,RP,13,FALSE)</f>
        <v>13784833</v>
      </c>
      <c r="AM638" s="312">
        <f t="shared" si="69"/>
        <v>31535167</v>
      </c>
      <c r="AN638" s="306" t="s">
        <v>1863</v>
      </c>
      <c r="AO638" s="312">
        <f t="shared" si="70"/>
        <v>0</v>
      </c>
      <c r="AP638" s="306"/>
      <c r="AQ638" s="306"/>
      <c r="AR638" s="306"/>
      <c r="AS638" s="306"/>
      <c r="AT638" s="306"/>
    </row>
    <row r="639" spans="1:46" ht="76.5" x14ac:dyDescent="0.25">
      <c r="A639" s="306">
        <v>44</v>
      </c>
      <c r="B639" s="306" t="str">
        <f t="shared" si="67"/>
        <v>3075-44</v>
      </c>
      <c r="C639" s="307" t="s">
        <v>1852</v>
      </c>
      <c r="D639" s="308" t="s">
        <v>1853</v>
      </c>
      <c r="E639" s="308" t="s">
        <v>1854</v>
      </c>
      <c r="F639" s="307" t="s">
        <v>1907</v>
      </c>
      <c r="G639" s="327" t="s">
        <v>1908</v>
      </c>
      <c r="H639" s="310" t="s">
        <v>1909</v>
      </c>
      <c r="I639" s="308" t="s">
        <v>1858</v>
      </c>
      <c r="J639" s="308" t="s">
        <v>1859</v>
      </c>
      <c r="K639" s="308">
        <v>801116</v>
      </c>
      <c r="L639" s="306" t="s">
        <v>1860</v>
      </c>
      <c r="M639" s="306" t="s">
        <v>59</v>
      </c>
      <c r="N639" s="306" t="s">
        <v>60</v>
      </c>
      <c r="O639" s="308" t="s">
        <v>1910</v>
      </c>
      <c r="P639" s="308" t="s">
        <v>1996</v>
      </c>
      <c r="Q639" s="315">
        <v>8240000</v>
      </c>
      <c r="R639" s="306">
        <v>2</v>
      </c>
      <c r="S639" s="312">
        <v>0</v>
      </c>
      <c r="T639" s="306"/>
      <c r="U639" s="306" t="s">
        <v>1906</v>
      </c>
      <c r="V639" s="313"/>
      <c r="W639" s="314">
        <v>10.5</v>
      </c>
      <c r="X639" s="306"/>
      <c r="Y639" s="313"/>
      <c r="Z639" s="315"/>
      <c r="AA639" s="316"/>
      <c r="AB639" s="317"/>
      <c r="AC639" s="313"/>
      <c r="AD639" s="312"/>
      <c r="AE639" s="318">
        <f t="shared" si="68"/>
        <v>0</v>
      </c>
      <c r="AF639" s="317"/>
      <c r="AG639" s="313"/>
      <c r="AH639" s="312"/>
      <c r="AI639" s="306"/>
      <c r="AJ639" s="306"/>
      <c r="AK639" s="318">
        <f t="shared" si="71"/>
        <v>0</v>
      </c>
      <c r="AL639" s="312">
        <v>0</v>
      </c>
      <c r="AM639" s="312">
        <f t="shared" si="69"/>
        <v>0</v>
      </c>
      <c r="AN639" s="306" t="s">
        <v>1863</v>
      </c>
      <c r="AO639" s="312">
        <f t="shared" si="70"/>
        <v>0</v>
      </c>
      <c r="AP639" s="306"/>
      <c r="AQ639" s="306"/>
      <c r="AR639" s="306"/>
      <c r="AS639" s="306"/>
      <c r="AT639" s="306"/>
    </row>
    <row r="640" spans="1:46" ht="76.5" x14ac:dyDescent="0.25">
      <c r="A640" s="306">
        <v>45</v>
      </c>
      <c r="B640" s="306" t="str">
        <f t="shared" si="67"/>
        <v>3075-45</v>
      </c>
      <c r="C640" s="307" t="s">
        <v>1852</v>
      </c>
      <c r="D640" s="308" t="s">
        <v>1853</v>
      </c>
      <c r="E640" s="308" t="s">
        <v>1854</v>
      </c>
      <c r="F640" s="307" t="s">
        <v>1907</v>
      </c>
      <c r="G640" s="327" t="s">
        <v>1908</v>
      </c>
      <c r="H640" s="310" t="s">
        <v>1909</v>
      </c>
      <c r="I640" s="308" t="s">
        <v>1858</v>
      </c>
      <c r="J640" s="308" t="s">
        <v>1859</v>
      </c>
      <c r="K640" s="308">
        <v>801116</v>
      </c>
      <c r="L640" s="306" t="s">
        <v>1860</v>
      </c>
      <c r="M640" s="306" t="s">
        <v>59</v>
      </c>
      <c r="N640" s="306" t="s">
        <v>60</v>
      </c>
      <c r="O640" s="308" t="s">
        <v>1910</v>
      </c>
      <c r="P640" s="308" t="s">
        <v>1997</v>
      </c>
      <c r="Q640" s="315">
        <v>8240000</v>
      </c>
      <c r="R640" s="306">
        <v>1</v>
      </c>
      <c r="S640" s="312">
        <v>90640000</v>
      </c>
      <c r="T640" s="306" t="s">
        <v>900</v>
      </c>
      <c r="U640" s="306" t="s">
        <v>1906</v>
      </c>
      <c r="V640" s="313" t="s">
        <v>308</v>
      </c>
      <c r="W640" s="314">
        <v>11</v>
      </c>
      <c r="X640" s="306" t="s">
        <v>1998</v>
      </c>
      <c r="Y640" s="313">
        <v>43103</v>
      </c>
      <c r="Z640" s="315">
        <v>90640000</v>
      </c>
      <c r="AA640" s="316" t="s">
        <v>63</v>
      </c>
      <c r="AB640" s="317">
        <v>364</v>
      </c>
      <c r="AC640" s="313">
        <v>43110</v>
      </c>
      <c r="AD640" s="312">
        <v>90640000</v>
      </c>
      <c r="AE640" s="318">
        <f t="shared" si="68"/>
        <v>0</v>
      </c>
      <c r="AF640" s="317">
        <v>116</v>
      </c>
      <c r="AG640" s="313">
        <v>43117</v>
      </c>
      <c r="AH640" s="312">
        <v>90640000</v>
      </c>
      <c r="AI640" s="306" t="s">
        <v>1999</v>
      </c>
      <c r="AJ640" s="306">
        <v>94</v>
      </c>
      <c r="AK640" s="318">
        <f t="shared" si="71"/>
        <v>0</v>
      </c>
      <c r="AL640" s="312">
        <f t="shared" ref="AL640:AL649" si="74">VLOOKUP(AB640,RP,13,FALSE)</f>
        <v>20325334</v>
      </c>
      <c r="AM640" s="312">
        <f t="shared" si="69"/>
        <v>70314666</v>
      </c>
      <c r="AN640" s="306" t="s">
        <v>1863</v>
      </c>
      <c r="AO640" s="312">
        <f t="shared" si="70"/>
        <v>0</v>
      </c>
      <c r="AP640" s="306"/>
      <c r="AQ640" s="306"/>
      <c r="AR640" s="306"/>
      <c r="AS640" s="306"/>
      <c r="AT640" s="306"/>
    </row>
    <row r="641" spans="1:46" ht="76.5" x14ac:dyDescent="0.25">
      <c r="A641" s="306">
        <v>46</v>
      </c>
      <c r="B641" s="306" t="str">
        <f t="shared" si="67"/>
        <v>3075-46</v>
      </c>
      <c r="C641" s="307" t="s">
        <v>1852</v>
      </c>
      <c r="D641" s="308" t="s">
        <v>1853</v>
      </c>
      <c r="E641" s="308" t="s">
        <v>2000</v>
      </c>
      <c r="F641" s="307" t="s">
        <v>1907</v>
      </c>
      <c r="G641" s="327" t="s">
        <v>1908</v>
      </c>
      <c r="H641" s="310" t="s">
        <v>1909</v>
      </c>
      <c r="I641" s="308" t="s">
        <v>1858</v>
      </c>
      <c r="J641" s="308" t="s">
        <v>1859</v>
      </c>
      <c r="K641" s="308">
        <v>801116</v>
      </c>
      <c r="L641" s="306" t="s">
        <v>1860</v>
      </c>
      <c r="M641" s="306" t="s">
        <v>59</v>
      </c>
      <c r="N641" s="306" t="s">
        <v>60</v>
      </c>
      <c r="O641" s="308" t="s">
        <v>1910</v>
      </c>
      <c r="P641" s="308" t="s">
        <v>2001</v>
      </c>
      <c r="Q641" s="315">
        <v>8240000</v>
      </c>
      <c r="R641" s="306">
        <v>1</v>
      </c>
      <c r="S641" s="312">
        <v>90640000</v>
      </c>
      <c r="T641" s="306" t="s">
        <v>900</v>
      </c>
      <c r="U641" s="306" t="s">
        <v>1906</v>
      </c>
      <c r="V641" s="313" t="s">
        <v>308</v>
      </c>
      <c r="W641" s="314">
        <v>11</v>
      </c>
      <c r="X641" s="306" t="s">
        <v>2002</v>
      </c>
      <c r="Y641" s="313">
        <v>43103</v>
      </c>
      <c r="Z641" s="315">
        <v>90640000</v>
      </c>
      <c r="AA641" s="316" t="s">
        <v>63</v>
      </c>
      <c r="AB641" s="317">
        <v>319</v>
      </c>
      <c r="AC641" s="313">
        <v>43110</v>
      </c>
      <c r="AD641" s="312">
        <v>90640000</v>
      </c>
      <c r="AE641" s="318">
        <f t="shared" si="68"/>
        <v>0</v>
      </c>
      <c r="AF641" s="317">
        <v>127</v>
      </c>
      <c r="AG641" s="313">
        <v>43117</v>
      </c>
      <c r="AH641" s="312">
        <v>90640000</v>
      </c>
      <c r="AI641" s="306" t="s">
        <v>2003</v>
      </c>
      <c r="AJ641" s="306">
        <v>119</v>
      </c>
      <c r="AK641" s="318">
        <f t="shared" si="71"/>
        <v>0</v>
      </c>
      <c r="AL641" s="312">
        <f t="shared" si="74"/>
        <v>20050667</v>
      </c>
      <c r="AM641" s="312">
        <f t="shared" si="69"/>
        <v>70589333</v>
      </c>
      <c r="AN641" s="306" t="s">
        <v>1863</v>
      </c>
      <c r="AO641" s="312">
        <f t="shared" si="70"/>
        <v>0</v>
      </c>
      <c r="AP641" s="306"/>
      <c r="AQ641" s="306"/>
      <c r="AR641" s="306"/>
      <c r="AS641" s="306"/>
      <c r="AT641" s="306"/>
    </row>
    <row r="642" spans="1:46" ht="76.5" x14ac:dyDescent="0.25">
      <c r="A642" s="306">
        <v>47</v>
      </c>
      <c r="B642" s="306" t="str">
        <f t="shared" si="67"/>
        <v>3075-47</v>
      </c>
      <c r="C642" s="307" t="s">
        <v>1852</v>
      </c>
      <c r="D642" s="308" t="s">
        <v>1853</v>
      </c>
      <c r="E642" s="308" t="s">
        <v>1854</v>
      </c>
      <c r="F642" s="307" t="s">
        <v>1907</v>
      </c>
      <c r="G642" s="327" t="s">
        <v>1908</v>
      </c>
      <c r="H642" s="310" t="s">
        <v>1909</v>
      </c>
      <c r="I642" s="308" t="s">
        <v>1858</v>
      </c>
      <c r="J642" s="308" t="s">
        <v>1859</v>
      </c>
      <c r="K642" s="308">
        <v>801116</v>
      </c>
      <c r="L642" s="306" t="s">
        <v>1860</v>
      </c>
      <c r="M642" s="306" t="s">
        <v>59</v>
      </c>
      <c r="N642" s="306" t="s">
        <v>60</v>
      </c>
      <c r="O642" s="308" t="s">
        <v>1910</v>
      </c>
      <c r="P642" s="308" t="s">
        <v>2004</v>
      </c>
      <c r="Q642" s="315">
        <v>6180000</v>
      </c>
      <c r="R642" s="306">
        <v>1</v>
      </c>
      <c r="S642" s="312">
        <v>61800000</v>
      </c>
      <c r="T642" s="306" t="s">
        <v>900</v>
      </c>
      <c r="U642" s="306" t="s">
        <v>1906</v>
      </c>
      <c r="V642" s="313" t="s">
        <v>308</v>
      </c>
      <c r="W642" s="314">
        <v>10</v>
      </c>
      <c r="X642" s="306" t="s">
        <v>2005</v>
      </c>
      <c r="Y642" s="313">
        <v>43103</v>
      </c>
      <c r="Z642" s="315">
        <v>61800000</v>
      </c>
      <c r="AA642" s="316" t="s">
        <v>63</v>
      </c>
      <c r="AB642" s="317">
        <v>329</v>
      </c>
      <c r="AC642" s="313">
        <v>43110</v>
      </c>
      <c r="AD642" s="312">
        <v>61800000</v>
      </c>
      <c r="AE642" s="318">
        <f t="shared" si="68"/>
        <v>0</v>
      </c>
      <c r="AF642" s="317">
        <v>389</v>
      </c>
      <c r="AG642" s="313">
        <v>43124</v>
      </c>
      <c r="AH642" s="312">
        <v>61800000</v>
      </c>
      <c r="AI642" s="306" t="s">
        <v>2006</v>
      </c>
      <c r="AJ642" s="306">
        <v>312</v>
      </c>
      <c r="AK642" s="318">
        <f t="shared" si="71"/>
        <v>0</v>
      </c>
      <c r="AL642" s="312">
        <f t="shared" si="74"/>
        <v>13802000</v>
      </c>
      <c r="AM642" s="312">
        <f t="shared" si="69"/>
        <v>47998000</v>
      </c>
      <c r="AN642" s="306" t="s">
        <v>1863</v>
      </c>
      <c r="AO642" s="312">
        <f t="shared" si="70"/>
        <v>0</v>
      </c>
      <c r="AP642" s="306"/>
      <c r="AQ642" s="306"/>
      <c r="AR642" s="306"/>
      <c r="AS642" s="306"/>
      <c r="AT642" s="306"/>
    </row>
    <row r="643" spans="1:46" ht="102" x14ac:dyDescent="0.25">
      <c r="A643" s="306">
        <v>48</v>
      </c>
      <c r="B643" s="306" t="str">
        <f t="shared" si="67"/>
        <v>3075-48</v>
      </c>
      <c r="C643" s="307" t="s">
        <v>1852</v>
      </c>
      <c r="D643" s="308" t="s">
        <v>1853</v>
      </c>
      <c r="E643" s="308" t="s">
        <v>1854</v>
      </c>
      <c r="F643" s="307" t="s">
        <v>1907</v>
      </c>
      <c r="G643" s="327" t="s">
        <v>1908</v>
      </c>
      <c r="H643" s="310" t="s">
        <v>1909</v>
      </c>
      <c r="I643" s="308" t="s">
        <v>1858</v>
      </c>
      <c r="J643" s="308" t="s">
        <v>1859</v>
      </c>
      <c r="K643" s="308">
        <v>801116</v>
      </c>
      <c r="L643" s="306" t="s">
        <v>1860</v>
      </c>
      <c r="M643" s="306" t="s">
        <v>59</v>
      </c>
      <c r="N643" s="306" t="s">
        <v>60</v>
      </c>
      <c r="O643" s="308" t="s">
        <v>1910</v>
      </c>
      <c r="P643" s="308" t="s">
        <v>2007</v>
      </c>
      <c r="Q643" s="315">
        <v>5036700</v>
      </c>
      <c r="R643" s="306">
        <v>2</v>
      </c>
      <c r="S643" s="312">
        <v>50367000</v>
      </c>
      <c r="T643" s="306" t="s">
        <v>900</v>
      </c>
      <c r="U643" s="306" t="s">
        <v>1906</v>
      </c>
      <c r="V643" s="313" t="s">
        <v>308</v>
      </c>
      <c r="W643" s="314">
        <v>10</v>
      </c>
      <c r="X643" s="306" t="s">
        <v>2008</v>
      </c>
      <c r="Y643" s="313">
        <v>43111</v>
      </c>
      <c r="Z643" s="315">
        <v>50367000</v>
      </c>
      <c r="AA643" s="316" t="s">
        <v>2009</v>
      </c>
      <c r="AB643" s="317">
        <v>453</v>
      </c>
      <c r="AC643" s="313">
        <v>43111</v>
      </c>
      <c r="AD643" s="312">
        <v>50367000</v>
      </c>
      <c r="AE643" s="318">
        <f t="shared" si="68"/>
        <v>0</v>
      </c>
      <c r="AF643" s="317">
        <v>419</v>
      </c>
      <c r="AG643" s="313">
        <v>43124</v>
      </c>
      <c r="AH643" s="312">
        <v>50367000</v>
      </c>
      <c r="AI643" s="306" t="s">
        <v>2010</v>
      </c>
      <c r="AJ643" s="306">
        <v>368</v>
      </c>
      <c r="AK643" s="318">
        <f t="shared" si="71"/>
        <v>0</v>
      </c>
      <c r="AL643" s="312">
        <f t="shared" si="74"/>
        <v>11080740</v>
      </c>
      <c r="AM643" s="312">
        <f t="shared" si="69"/>
        <v>39286260</v>
      </c>
      <c r="AN643" s="306" t="s">
        <v>1863</v>
      </c>
      <c r="AO643" s="312">
        <f t="shared" si="70"/>
        <v>0</v>
      </c>
      <c r="AP643" s="306" t="s">
        <v>2011</v>
      </c>
      <c r="AQ643" s="306"/>
      <c r="AR643" s="306"/>
      <c r="AS643" s="306"/>
      <c r="AT643" s="306"/>
    </row>
    <row r="644" spans="1:46" ht="76.5" x14ac:dyDescent="0.25">
      <c r="A644" s="306">
        <v>49</v>
      </c>
      <c r="B644" s="306" t="str">
        <f t="shared" si="67"/>
        <v>3075-49</v>
      </c>
      <c r="C644" s="307" t="s">
        <v>1852</v>
      </c>
      <c r="D644" s="308" t="s">
        <v>1853</v>
      </c>
      <c r="E644" s="308" t="s">
        <v>1854</v>
      </c>
      <c r="F644" s="307" t="s">
        <v>1907</v>
      </c>
      <c r="G644" s="327" t="s">
        <v>1908</v>
      </c>
      <c r="H644" s="310" t="s">
        <v>1909</v>
      </c>
      <c r="I644" s="308" t="s">
        <v>1858</v>
      </c>
      <c r="J644" s="308" t="s">
        <v>1859</v>
      </c>
      <c r="K644" s="308">
        <v>801116</v>
      </c>
      <c r="L644" s="306" t="s">
        <v>1860</v>
      </c>
      <c r="M644" s="306" t="s">
        <v>59</v>
      </c>
      <c r="N644" s="306" t="s">
        <v>60</v>
      </c>
      <c r="O644" s="308" t="s">
        <v>1910</v>
      </c>
      <c r="P644" s="308" t="s">
        <v>2012</v>
      </c>
      <c r="Q644" s="315">
        <v>8240000</v>
      </c>
      <c r="R644" s="306">
        <v>1</v>
      </c>
      <c r="S644" s="312">
        <v>82400000</v>
      </c>
      <c r="T644" s="306" t="s">
        <v>900</v>
      </c>
      <c r="U644" s="306" t="s">
        <v>1906</v>
      </c>
      <c r="V644" s="313" t="s">
        <v>308</v>
      </c>
      <c r="W644" s="314">
        <v>10</v>
      </c>
      <c r="X644" s="306" t="s">
        <v>2013</v>
      </c>
      <c r="Y644" s="313">
        <v>43103</v>
      </c>
      <c r="Z644" s="315">
        <v>82400000</v>
      </c>
      <c r="AA644" s="316" t="s">
        <v>63</v>
      </c>
      <c r="AB644" s="317">
        <v>363</v>
      </c>
      <c r="AC644" s="313">
        <v>43110</v>
      </c>
      <c r="AD644" s="312">
        <v>82400000</v>
      </c>
      <c r="AE644" s="318">
        <f t="shared" si="68"/>
        <v>0</v>
      </c>
      <c r="AF644" s="317">
        <v>450</v>
      </c>
      <c r="AG644" s="313">
        <v>43125</v>
      </c>
      <c r="AH644" s="312">
        <v>82400000</v>
      </c>
      <c r="AI644" s="306" t="s">
        <v>2014</v>
      </c>
      <c r="AJ644" s="306">
        <v>386</v>
      </c>
      <c r="AK644" s="318">
        <f t="shared" si="71"/>
        <v>0</v>
      </c>
      <c r="AL644" s="312">
        <f t="shared" si="74"/>
        <v>18128000</v>
      </c>
      <c r="AM644" s="312">
        <f t="shared" si="69"/>
        <v>64272000</v>
      </c>
      <c r="AN644" s="306" t="s">
        <v>1863</v>
      </c>
      <c r="AO644" s="312">
        <f t="shared" si="70"/>
        <v>0</v>
      </c>
      <c r="AP644" s="306"/>
      <c r="AQ644" s="306"/>
      <c r="AR644" s="306"/>
      <c r="AS644" s="306"/>
      <c r="AT644" s="306"/>
    </row>
    <row r="645" spans="1:46" ht="76.5" x14ac:dyDescent="0.25">
      <c r="A645" s="306">
        <v>50</v>
      </c>
      <c r="B645" s="306" t="str">
        <f t="shared" si="67"/>
        <v>3075-50</v>
      </c>
      <c r="C645" s="307" t="s">
        <v>1852</v>
      </c>
      <c r="D645" s="308" t="s">
        <v>1853</v>
      </c>
      <c r="E645" s="308" t="s">
        <v>1854</v>
      </c>
      <c r="F645" s="307" t="s">
        <v>1907</v>
      </c>
      <c r="G645" s="327" t="s">
        <v>1908</v>
      </c>
      <c r="H645" s="310" t="s">
        <v>1909</v>
      </c>
      <c r="I645" s="308" t="s">
        <v>1858</v>
      </c>
      <c r="J645" s="308" t="s">
        <v>1859</v>
      </c>
      <c r="K645" s="308">
        <v>801116</v>
      </c>
      <c r="L645" s="306" t="s">
        <v>1860</v>
      </c>
      <c r="M645" s="306" t="s">
        <v>59</v>
      </c>
      <c r="N645" s="306" t="s">
        <v>60</v>
      </c>
      <c r="O645" s="308" t="s">
        <v>1910</v>
      </c>
      <c r="P645" s="308" t="s">
        <v>2015</v>
      </c>
      <c r="Q645" s="315">
        <v>7210000</v>
      </c>
      <c r="R645" s="306">
        <v>1</v>
      </c>
      <c r="S645" s="312">
        <v>72100000</v>
      </c>
      <c r="T645" s="306" t="s">
        <v>900</v>
      </c>
      <c r="U645" s="306" t="s">
        <v>1906</v>
      </c>
      <c r="V645" s="313" t="s">
        <v>308</v>
      </c>
      <c r="W645" s="314">
        <v>10</v>
      </c>
      <c r="X645" s="306" t="s">
        <v>2016</v>
      </c>
      <c r="Y645" s="313">
        <v>43124</v>
      </c>
      <c r="Z645" s="315">
        <v>20394000</v>
      </c>
      <c r="AA645" s="316" t="s">
        <v>63</v>
      </c>
      <c r="AB645" s="317">
        <v>564</v>
      </c>
      <c r="AC645" s="313">
        <v>43124</v>
      </c>
      <c r="AD645" s="312">
        <v>20394000</v>
      </c>
      <c r="AE645" s="318">
        <f t="shared" si="68"/>
        <v>51706000</v>
      </c>
      <c r="AF645" s="317">
        <v>484</v>
      </c>
      <c r="AG645" s="313">
        <v>43126</v>
      </c>
      <c r="AH645" s="312">
        <v>20394000</v>
      </c>
      <c r="AI645" s="306" t="s">
        <v>2017</v>
      </c>
      <c r="AJ645" s="306">
        <v>406</v>
      </c>
      <c r="AK645" s="318">
        <f t="shared" si="71"/>
        <v>0</v>
      </c>
      <c r="AL645" s="312">
        <f t="shared" si="74"/>
        <v>7364500</v>
      </c>
      <c r="AM645" s="312">
        <f t="shared" si="69"/>
        <v>13029500</v>
      </c>
      <c r="AN645" s="306" t="s">
        <v>1863</v>
      </c>
      <c r="AO645" s="312">
        <f t="shared" si="70"/>
        <v>51706000</v>
      </c>
      <c r="AP645" s="306" t="s">
        <v>2018</v>
      </c>
      <c r="AQ645" s="306"/>
      <c r="AR645" s="306"/>
      <c r="AS645" s="306"/>
      <c r="AT645" s="306"/>
    </row>
    <row r="646" spans="1:46" ht="89.25" x14ac:dyDescent="0.25">
      <c r="A646" s="306">
        <v>51</v>
      </c>
      <c r="B646" s="306" t="str">
        <f t="shared" si="67"/>
        <v>3075-51</v>
      </c>
      <c r="C646" s="307" t="s">
        <v>1852</v>
      </c>
      <c r="D646" s="308" t="s">
        <v>1853</v>
      </c>
      <c r="E646" s="308" t="s">
        <v>1854</v>
      </c>
      <c r="F646" s="307" t="s">
        <v>1907</v>
      </c>
      <c r="G646" s="327" t="s">
        <v>1908</v>
      </c>
      <c r="H646" s="310" t="s">
        <v>1909</v>
      </c>
      <c r="I646" s="308" t="s">
        <v>1858</v>
      </c>
      <c r="J646" s="308" t="s">
        <v>1859</v>
      </c>
      <c r="K646" s="308">
        <v>801116</v>
      </c>
      <c r="L646" s="306" t="s">
        <v>1860</v>
      </c>
      <c r="M646" s="306" t="s">
        <v>59</v>
      </c>
      <c r="N646" s="306" t="s">
        <v>60</v>
      </c>
      <c r="O646" s="308" t="s">
        <v>1910</v>
      </c>
      <c r="P646" s="308" t="s">
        <v>2019</v>
      </c>
      <c r="Q646" s="315">
        <v>6180000</v>
      </c>
      <c r="R646" s="306">
        <v>1</v>
      </c>
      <c r="S646" s="312">
        <v>57783000</v>
      </c>
      <c r="T646" s="306" t="s">
        <v>900</v>
      </c>
      <c r="U646" s="306" t="s">
        <v>1906</v>
      </c>
      <c r="V646" s="313" t="s">
        <v>308</v>
      </c>
      <c r="W646" s="314">
        <v>11.5</v>
      </c>
      <c r="X646" s="306" t="s">
        <v>2020</v>
      </c>
      <c r="Y646" s="313">
        <v>43110</v>
      </c>
      <c r="Z646" s="315">
        <v>57783000</v>
      </c>
      <c r="AA646" s="316" t="s">
        <v>63</v>
      </c>
      <c r="AB646" s="317">
        <v>450</v>
      </c>
      <c r="AC646" s="313">
        <v>43111</v>
      </c>
      <c r="AD646" s="312">
        <v>57783000</v>
      </c>
      <c r="AE646" s="318">
        <f t="shared" si="68"/>
        <v>0</v>
      </c>
      <c r="AF646" s="317">
        <v>263</v>
      </c>
      <c r="AG646" s="313">
        <v>43119</v>
      </c>
      <c r="AH646" s="312">
        <v>57783000</v>
      </c>
      <c r="AI646" s="306" t="s">
        <v>2021</v>
      </c>
      <c r="AJ646" s="306">
        <v>229</v>
      </c>
      <c r="AK646" s="318">
        <f t="shared" si="71"/>
        <v>0</v>
      </c>
      <c r="AL646" s="312">
        <f t="shared" si="74"/>
        <v>12257000</v>
      </c>
      <c r="AM646" s="312">
        <f t="shared" si="69"/>
        <v>45526000</v>
      </c>
      <c r="AN646" s="306" t="s">
        <v>1863</v>
      </c>
      <c r="AO646" s="312">
        <f t="shared" si="70"/>
        <v>0</v>
      </c>
      <c r="AP646" s="306"/>
      <c r="AQ646" s="306"/>
      <c r="AR646" s="306"/>
      <c r="AS646" s="306"/>
      <c r="AT646" s="306"/>
    </row>
    <row r="647" spans="1:46" ht="89.25" x14ac:dyDescent="0.25">
      <c r="A647" s="306">
        <v>52</v>
      </c>
      <c r="B647" s="306" t="str">
        <f t="shared" si="67"/>
        <v>3075-52</v>
      </c>
      <c r="C647" s="307" t="s">
        <v>1852</v>
      </c>
      <c r="D647" s="308" t="s">
        <v>1853</v>
      </c>
      <c r="E647" s="308" t="s">
        <v>1854</v>
      </c>
      <c r="F647" s="307" t="s">
        <v>1907</v>
      </c>
      <c r="G647" s="327" t="s">
        <v>1908</v>
      </c>
      <c r="H647" s="310" t="s">
        <v>1909</v>
      </c>
      <c r="I647" s="308" t="s">
        <v>1858</v>
      </c>
      <c r="J647" s="308" t="s">
        <v>1859</v>
      </c>
      <c r="K647" s="308">
        <v>801116</v>
      </c>
      <c r="L647" s="306" t="s">
        <v>1860</v>
      </c>
      <c r="M647" s="306" t="s">
        <v>59</v>
      </c>
      <c r="N647" s="306" t="s">
        <v>60</v>
      </c>
      <c r="O647" s="308" t="s">
        <v>1910</v>
      </c>
      <c r="P647" s="308" t="s">
        <v>2019</v>
      </c>
      <c r="Q647" s="315">
        <v>4532000</v>
      </c>
      <c r="R647" s="306">
        <v>1</v>
      </c>
      <c r="S647" s="312">
        <v>47380000</v>
      </c>
      <c r="T647" s="306" t="s">
        <v>900</v>
      </c>
      <c r="U647" s="306" t="s">
        <v>1906</v>
      </c>
      <c r="V647" s="313" t="s">
        <v>308</v>
      </c>
      <c r="W647" s="314">
        <v>11.5</v>
      </c>
      <c r="X647" s="306" t="s">
        <v>2022</v>
      </c>
      <c r="Y647" s="313">
        <v>43109</v>
      </c>
      <c r="Z647" s="315">
        <v>47380000</v>
      </c>
      <c r="AA647" s="316" t="s">
        <v>63</v>
      </c>
      <c r="AB647" s="317">
        <v>430</v>
      </c>
      <c r="AC647" s="313">
        <v>43111</v>
      </c>
      <c r="AD647" s="312">
        <v>24720000</v>
      </c>
      <c r="AE647" s="318">
        <f t="shared" si="68"/>
        <v>0</v>
      </c>
      <c r="AF647" s="317">
        <v>228</v>
      </c>
      <c r="AG647" s="313">
        <v>43118</v>
      </c>
      <c r="AH647" s="312">
        <v>24720000</v>
      </c>
      <c r="AI647" s="306" t="s">
        <v>2023</v>
      </c>
      <c r="AJ647" s="306">
        <v>161</v>
      </c>
      <c r="AK647" s="318">
        <f t="shared" si="71"/>
        <v>0</v>
      </c>
      <c r="AL647" s="312">
        <f t="shared" si="74"/>
        <v>10025333</v>
      </c>
      <c r="AM647" s="312">
        <f t="shared" si="69"/>
        <v>14694667</v>
      </c>
      <c r="AN647" s="306" t="s">
        <v>1863</v>
      </c>
      <c r="AO647" s="312">
        <f t="shared" si="70"/>
        <v>22660000</v>
      </c>
      <c r="AP647" s="306"/>
      <c r="AQ647" s="306"/>
      <c r="AR647" s="306"/>
      <c r="AS647" s="306"/>
      <c r="AT647" s="306"/>
    </row>
    <row r="648" spans="1:46" ht="76.5" x14ac:dyDescent="0.25">
      <c r="A648" s="306">
        <v>53</v>
      </c>
      <c r="B648" s="306" t="str">
        <f t="shared" si="67"/>
        <v>3075-53</v>
      </c>
      <c r="C648" s="307" t="s">
        <v>1852</v>
      </c>
      <c r="D648" s="308" t="s">
        <v>1853</v>
      </c>
      <c r="E648" s="308" t="s">
        <v>1854</v>
      </c>
      <c r="F648" s="307" t="s">
        <v>1907</v>
      </c>
      <c r="G648" s="327" t="s">
        <v>1908</v>
      </c>
      <c r="H648" s="310" t="s">
        <v>1909</v>
      </c>
      <c r="I648" s="308" t="s">
        <v>1858</v>
      </c>
      <c r="J648" s="308" t="s">
        <v>1859</v>
      </c>
      <c r="K648" s="308">
        <v>801116</v>
      </c>
      <c r="L648" s="306" t="s">
        <v>1860</v>
      </c>
      <c r="M648" s="306" t="s">
        <v>59</v>
      </c>
      <c r="N648" s="306" t="s">
        <v>60</v>
      </c>
      <c r="O648" s="308" t="s">
        <v>1910</v>
      </c>
      <c r="P648" s="308" t="s">
        <v>2024</v>
      </c>
      <c r="Q648" s="315">
        <v>5036700</v>
      </c>
      <c r="R648" s="306">
        <v>1</v>
      </c>
      <c r="S648" s="312">
        <v>45330300</v>
      </c>
      <c r="T648" s="306" t="s">
        <v>900</v>
      </c>
      <c r="U648" s="306" t="s">
        <v>1906</v>
      </c>
      <c r="V648" s="313" t="s">
        <v>308</v>
      </c>
      <c r="W648" s="314">
        <v>9</v>
      </c>
      <c r="X648" s="306" t="s">
        <v>2025</v>
      </c>
      <c r="Y648" s="313">
        <v>43103</v>
      </c>
      <c r="Z648" s="315">
        <v>45330300</v>
      </c>
      <c r="AA648" s="316" t="s">
        <v>63</v>
      </c>
      <c r="AB648" s="317">
        <v>360</v>
      </c>
      <c r="AC648" s="313">
        <v>43110</v>
      </c>
      <c r="AD648" s="312">
        <v>45330300</v>
      </c>
      <c r="AE648" s="318">
        <f t="shared" si="68"/>
        <v>0</v>
      </c>
      <c r="AF648" s="317">
        <v>125</v>
      </c>
      <c r="AG648" s="313">
        <v>43117</v>
      </c>
      <c r="AH648" s="312">
        <v>45330300</v>
      </c>
      <c r="AI648" s="306" t="s">
        <v>2026</v>
      </c>
      <c r="AJ648" s="306">
        <v>110</v>
      </c>
      <c r="AK648" s="318">
        <f t="shared" si="71"/>
        <v>0</v>
      </c>
      <c r="AL648" s="312">
        <f t="shared" si="74"/>
        <v>12255970</v>
      </c>
      <c r="AM648" s="312">
        <f t="shared" si="69"/>
        <v>33074330</v>
      </c>
      <c r="AN648" s="306" t="s">
        <v>1863</v>
      </c>
      <c r="AO648" s="312">
        <f t="shared" si="70"/>
        <v>0</v>
      </c>
      <c r="AP648" s="306"/>
      <c r="AQ648" s="306"/>
      <c r="AR648" s="306"/>
      <c r="AS648" s="306"/>
      <c r="AT648" s="306"/>
    </row>
    <row r="649" spans="1:46" ht="76.5" x14ac:dyDescent="0.25">
      <c r="A649" s="306">
        <v>54</v>
      </c>
      <c r="B649" s="306" t="str">
        <f t="shared" si="67"/>
        <v>3075-54</v>
      </c>
      <c r="C649" s="307" t="s">
        <v>1852</v>
      </c>
      <c r="D649" s="308" t="s">
        <v>1853</v>
      </c>
      <c r="E649" s="308" t="s">
        <v>1854</v>
      </c>
      <c r="F649" s="307" t="s">
        <v>1907</v>
      </c>
      <c r="G649" s="327" t="s">
        <v>1908</v>
      </c>
      <c r="H649" s="310" t="s">
        <v>1909</v>
      </c>
      <c r="I649" s="308" t="s">
        <v>1858</v>
      </c>
      <c r="J649" s="308" t="s">
        <v>1859</v>
      </c>
      <c r="K649" s="308">
        <v>801116</v>
      </c>
      <c r="L649" s="306" t="s">
        <v>1860</v>
      </c>
      <c r="M649" s="306" t="s">
        <v>59</v>
      </c>
      <c r="N649" s="306" t="s">
        <v>60</v>
      </c>
      <c r="O649" s="308" t="s">
        <v>1910</v>
      </c>
      <c r="P649" s="308" t="s">
        <v>2027</v>
      </c>
      <c r="Q649" s="315">
        <v>2060000</v>
      </c>
      <c r="R649" s="306">
        <v>1</v>
      </c>
      <c r="S649" s="312">
        <v>23690000</v>
      </c>
      <c r="T649" s="306" t="s">
        <v>900</v>
      </c>
      <c r="U649" s="306" t="s">
        <v>1906</v>
      </c>
      <c r="V649" s="313" t="s">
        <v>308</v>
      </c>
      <c r="W649" s="314">
        <v>11.5</v>
      </c>
      <c r="X649" s="306" t="s">
        <v>2028</v>
      </c>
      <c r="Y649" s="313">
        <v>43109</v>
      </c>
      <c r="Z649" s="315">
        <v>23690000</v>
      </c>
      <c r="AA649" s="316" t="s">
        <v>63</v>
      </c>
      <c r="AB649" s="317">
        <v>431</v>
      </c>
      <c r="AC649" s="313">
        <v>43111</v>
      </c>
      <c r="AD649" s="312">
        <v>23690000</v>
      </c>
      <c r="AE649" s="318">
        <f t="shared" si="68"/>
        <v>0</v>
      </c>
      <c r="AF649" s="317">
        <v>154</v>
      </c>
      <c r="AG649" s="313">
        <v>43117</v>
      </c>
      <c r="AH649" s="312">
        <v>23690000</v>
      </c>
      <c r="AI649" s="306" t="s">
        <v>405</v>
      </c>
      <c r="AJ649" s="306">
        <v>155</v>
      </c>
      <c r="AK649" s="318">
        <f t="shared" si="71"/>
        <v>0</v>
      </c>
      <c r="AL649" s="312">
        <f t="shared" si="74"/>
        <v>5012666</v>
      </c>
      <c r="AM649" s="312">
        <f t="shared" si="69"/>
        <v>18677334</v>
      </c>
      <c r="AN649" s="306" t="s">
        <v>1863</v>
      </c>
      <c r="AO649" s="312">
        <f t="shared" si="70"/>
        <v>0</v>
      </c>
      <c r="AP649" s="306"/>
      <c r="AQ649" s="306"/>
      <c r="AR649" s="306"/>
      <c r="AS649" s="306"/>
      <c r="AT649" s="306"/>
    </row>
    <row r="650" spans="1:46" ht="76.5" x14ac:dyDescent="0.25">
      <c r="A650" s="306">
        <v>55</v>
      </c>
      <c r="B650" s="306" t="str">
        <f t="shared" si="67"/>
        <v>3075-55</v>
      </c>
      <c r="C650" s="307" t="s">
        <v>1852</v>
      </c>
      <c r="D650" s="308" t="s">
        <v>1853</v>
      </c>
      <c r="E650" s="308" t="s">
        <v>1854</v>
      </c>
      <c r="F650" s="307" t="s">
        <v>1907</v>
      </c>
      <c r="G650" s="327" t="s">
        <v>1908</v>
      </c>
      <c r="H650" s="310" t="s">
        <v>1909</v>
      </c>
      <c r="I650" s="308" t="s">
        <v>1858</v>
      </c>
      <c r="J650" s="308" t="s">
        <v>1859</v>
      </c>
      <c r="K650" s="308">
        <v>801116</v>
      </c>
      <c r="L650" s="306" t="s">
        <v>1860</v>
      </c>
      <c r="M650" s="306" t="s">
        <v>59</v>
      </c>
      <c r="N650" s="306" t="s">
        <v>60</v>
      </c>
      <c r="O650" s="308" t="s">
        <v>1910</v>
      </c>
      <c r="P650" s="308" t="s">
        <v>1936</v>
      </c>
      <c r="Q650" s="315">
        <v>4120000</v>
      </c>
      <c r="R650" s="306">
        <v>3</v>
      </c>
      <c r="S650" s="312">
        <v>0</v>
      </c>
      <c r="T650" s="306"/>
      <c r="U650" s="306" t="s">
        <v>1906</v>
      </c>
      <c r="V650" s="313"/>
      <c r="W650" s="314">
        <v>9.6666666666666661</v>
      </c>
      <c r="X650" s="306"/>
      <c r="Y650" s="313"/>
      <c r="Z650" s="315"/>
      <c r="AA650" s="316"/>
      <c r="AB650" s="317"/>
      <c r="AC650" s="313"/>
      <c r="AD650" s="312"/>
      <c r="AE650" s="318">
        <f t="shared" si="68"/>
        <v>0</v>
      </c>
      <c r="AF650" s="317"/>
      <c r="AG650" s="313"/>
      <c r="AH650" s="312"/>
      <c r="AI650" s="306"/>
      <c r="AJ650" s="306"/>
      <c r="AK650" s="318">
        <f t="shared" si="71"/>
        <v>0</v>
      </c>
      <c r="AL650" s="312">
        <v>0</v>
      </c>
      <c r="AM650" s="312">
        <f t="shared" si="69"/>
        <v>0</v>
      </c>
      <c r="AN650" s="306" t="s">
        <v>1863</v>
      </c>
      <c r="AO650" s="312">
        <f t="shared" si="70"/>
        <v>0</v>
      </c>
      <c r="AP650" s="306"/>
      <c r="AQ650" s="306"/>
      <c r="AR650" s="306"/>
      <c r="AS650" s="306"/>
      <c r="AT650" s="306"/>
    </row>
    <row r="651" spans="1:46" ht="76.5" x14ac:dyDescent="0.25">
      <c r="A651" s="306">
        <v>56</v>
      </c>
      <c r="B651" s="306" t="str">
        <f t="shared" si="67"/>
        <v>3075-56</v>
      </c>
      <c r="C651" s="307" t="s">
        <v>1852</v>
      </c>
      <c r="D651" s="308" t="s">
        <v>1853</v>
      </c>
      <c r="E651" s="308" t="s">
        <v>1854</v>
      </c>
      <c r="F651" s="307" t="s">
        <v>1907</v>
      </c>
      <c r="G651" s="327" t="s">
        <v>1908</v>
      </c>
      <c r="H651" s="310" t="s">
        <v>1909</v>
      </c>
      <c r="I651" s="308" t="s">
        <v>1858</v>
      </c>
      <c r="J651" s="308" t="s">
        <v>1859</v>
      </c>
      <c r="K651" s="308">
        <v>801116</v>
      </c>
      <c r="L651" s="306" t="s">
        <v>1860</v>
      </c>
      <c r="M651" s="306" t="s">
        <v>59</v>
      </c>
      <c r="N651" s="306" t="s">
        <v>60</v>
      </c>
      <c r="O651" s="308" t="s">
        <v>1910</v>
      </c>
      <c r="P651" s="308" t="s">
        <v>2029</v>
      </c>
      <c r="Q651" s="315">
        <v>4120000</v>
      </c>
      <c r="R651" s="306">
        <v>1</v>
      </c>
      <c r="S651" s="312">
        <v>47380000</v>
      </c>
      <c r="T651" s="306" t="s">
        <v>900</v>
      </c>
      <c r="U651" s="306" t="s">
        <v>1906</v>
      </c>
      <c r="V651" s="313" t="s">
        <v>308</v>
      </c>
      <c r="W651" s="314">
        <v>11.5</v>
      </c>
      <c r="X651" s="306" t="s">
        <v>2030</v>
      </c>
      <c r="Y651" s="313">
        <v>43109</v>
      </c>
      <c r="Z651" s="315">
        <v>47380000</v>
      </c>
      <c r="AA651" s="316" t="s">
        <v>63</v>
      </c>
      <c r="AB651" s="317">
        <v>429</v>
      </c>
      <c r="AC651" s="313">
        <v>43111</v>
      </c>
      <c r="AD651" s="312">
        <v>47380000</v>
      </c>
      <c r="AE651" s="318">
        <f t="shared" si="68"/>
        <v>0</v>
      </c>
      <c r="AF651" s="317">
        <v>83</v>
      </c>
      <c r="AG651" s="313">
        <v>43116</v>
      </c>
      <c r="AH651" s="312">
        <v>47380000</v>
      </c>
      <c r="AI651" s="306" t="s">
        <v>2031</v>
      </c>
      <c r="AJ651" s="306">
        <v>33</v>
      </c>
      <c r="AK651" s="318">
        <f t="shared" si="71"/>
        <v>0</v>
      </c>
      <c r="AL651" s="312">
        <f>VLOOKUP(AB651,RP,13,FALSE)</f>
        <v>10300000</v>
      </c>
      <c r="AM651" s="312">
        <f t="shared" si="69"/>
        <v>37080000</v>
      </c>
      <c r="AN651" s="306" t="s">
        <v>1863</v>
      </c>
      <c r="AO651" s="312">
        <f t="shared" si="70"/>
        <v>0</v>
      </c>
      <c r="AP651" s="306"/>
      <c r="AQ651" s="306"/>
      <c r="AR651" s="306"/>
      <c r="AS651" s="306"/>
      <c r="AT651" s="306"/>
    </row>
    <row r="652" spans="1:46" ht="114.75" x14ac:dyDescent="0.25">
      <c r="A652" s="306">
        <v>57</v>
      </c>
      <c r="B652" s="306" t="str">
        <f t="shared" si="67"/>
        <v>3075-57</v>
      </c>
      <c r="C652" s="307" t="s">
        <v>1852</v>
      </c>
      <c r="D652" s="308" t="s">
        <v>1853</v>
      </c>
      <c r="E652" s="308" t="s">
        <v>1854</v>
      </c>
      <c r="F652" s="307" t="s">
        <v>1907</v>
      </c>
      <c r="G652" s="327" t="s">
        <v>1908</v>
      </c>
      <c r="H652" s="310" t="s">
        <v>1909</v>
      </c>
      <c r="I652" s="308" t="s">
        <v>1858</v>
      </c>
      <c r="J652" s="308" t="s">
        <v>1859</v>
      </c>
      <c r="K652" s="308">
        <v>801116</v>
      </c>
      <c r="L652" s="306" t="s">
        <v>1860</v>
      </c>
      <c r="M652" s="306" t="s">
        <v>59</v>
      </c>
      <c r="N652" s="306" t="s">
        <v>60</v>
      </c>
      <c r="O652" s="308" t="s">
        <v>1910</v>
      </c>
      <c r="P652" s="308" t="s">
        <v>2032</v>
      </c>
      <c r="Q652" s="315">
        <v>5098500</v>
      </c>
      <c r="R652" s="306">
        <v>1</v>
      </c>
      <c r="S652" s="312">
        <v>58632750</v>
      </c>
      <c r="T652" s="306" t="s">
        <v>900</v>
      </c>
      <c r="U652" s="306" t="s">
        <v>1906</v>
      </c>
      <c r="V652" s="313" t="s">
        <v>308</v>
      </c>
      <c r="W652" s="330">
        <v>11.5</v>
      </c>
      <c r="X652" s="306" t="s">
        <v>2033</v>
      </c>
      <c r="Y652" s="313">
        <v>43110</v>
      </c>
      <c r="Z652" s="315">
        <v>58632750</v>
      </c>
      <c r="AA652" s="316" t="s">
        <v>63</v>
      </c>
      <c r="AB652" s="317">
        <v>451</v>
      </c>
      <c r="AC652" s="313">
        <v>43111</v>
      </c>
      <c r="AD652" s="312">
        <v>58632750</v>
      </c>
      <c r="AE652" s="318">
        <f t="shared" si="68"/>
        <v>0</v>
      </c>
      <c r="AF652" s="317">
        <v>411</v>
      </c>
      <c r="AG652" s="313">
        <v>43124</v>
      </c>
      <c r="AH652" s="312">
        <v>58632750</v>
      </c>
      <c r="AI652" s="306" t="s">
        <v>727</v>
      </c>
      <c r="AJ652" s="306">
        <v>314</v>
      </c>
      <c r="AK652" s="318">
        <f t="shared" si="71"/>
        <v>0</v>
      </c>
      <c r="AL652" s="312">
        <f>VLOOKUP(AB652,RP,13,FALSE)</f>
        <v>28798000</v>
      </c>
      <c r="AM652" s="312">
        <f t="shared" si="69"/>
        <v>29834750</v>
      </c>
      <c r="AN652" s="306" t="s">
        <v>1863</v>
      </c>
      <c r="AO652" s="312">
        <f t="shared" si="70"/>
        <v>0</v>
      </c>
      <c r="AP652" s="306"/>
      <c r="AQ652" s="306"/>
      <c r="AR652" s="306"/>
      <c r="AS652" s="306"/>
      <c r="AT652" s="306"/>
    </row>
    <row r="653" spans="1:46" ht="89.25" x14ac:dyDescent="0.25">
      <c r="A653" s="306">
        <v>58</v>
      </c>
      <c r="B653" s="306" t="str">
        <f t="shared" si="67"/>
        <v>3075-58</v>
      </c>
      <c r="C653" s="307" t="s">
        <v>1852</v>
      </c>
      <c r="D653" s="308" t="s">
        <v>1853</v>
      </c>
      <c r="E653" s="308" t="s">
        <v>1854</v>
      </c>
      <c r="F653" s="307" t="s">
        <v>1907</v>
      </c>
      <c r="G653" s="327" t="s">
        <v>1908</v>
      </c>
      <c r="H653" s="310" t="s">
        <v>1909</v>
      </c>
      <c r="I653" s="308" t="s">
        <v>1858</v>
      </c>
      <c r="J653" s="308" t="s">
        <v>1859</v>
      </c>
      <c r="K653" s="308">
        <v>801116</v>
      </c>
      <c r="L653" s="306" t="s">
        <v>1860</v>
      </c>
      <c r="M653" s="306" t="s">
        <v>59</v>
      </c>
      <c r="N653" s="306" t="s">
        <v>60</v>
      </c>
      <c r="O653" s="308" t="s">
        <v>1910</v>
      </c>
      <c r="P653" s="308" t="s">
        <v>2034</v>
      </c>
      <c r="Q653" s="331">
        <v>6868146.5217391308</v>
      </c>
      <c r="R653" s="306">
        <v>1</v>
      </c>
      <c r="S653" s="312">
        <v>78983685</v>
      </c>
      <c r="T653" s="306" t="s">
        <v>900</v>
      </c>
      <c r="U653" s="306" t="s">
        <v>1906</v>
      </c>
      <c r="V653" s="313" t="s">
        <v>308</v>
      </c>
      <c r="W653" s="314">
        <v>11.5</v>
      </c>
      <c r="X653" s="306" t="s">
        <v>2035</v>
      </c>
      <c r="Y653" s="313">
        <v>43118</v>
      </c>
      <c r="Z653" s="315">
        <v>68425000</v>
      </c>
      <c r="AA653" s="316" t="s">
        <v>63</v>
      </c>
      <c r="AB653" s="317">
        <v>531</v>
      </c>
      <c r="AC653" s="313">
        <v>43118</v>
      </c>
      <c r="AD653" s="312">
        <v>68425000</v>
      </c>
      <c r="AE653" s="318">
        <f t="shared" si="68"/>
        <v>10558685</v>
      </c>
      <c r="AF653" s="317">
        <v>309</v>
      </c>
      <c r="AG653" s="313">
        <v>43122</v>
      </c>
      <c r="AH653" s="312">
        <v>68425000</v>
      </c>
      <c r="AI653" s="306" t="s">
        <v>1477</v>
      </c>
      <c r="AJ653" s="306">
        <v>280</v>
      </c>
      <c r="AK653" s="318">
        <f t="shared" si="71"/>
        <v>0</v>
      </c>
      <c r="AL653" s="312">
        <f>VLOOKUP(AB653,RP,13,FALSE)</f>
        <v>13486667</v>
      </c>
      <c r="AM653" s="312">
        <f t="shared" si="69"/>
        <v>54938333</v>
      </c>
      <c r="AN653" s="306" t="s">
        <v>1863</v>
      </c>
      <c r="AO653" s="312">
        <f t="shared" si="70"/>
        <v>10558685</v>
      </c>
      <c r="AP653" s="306" t="s">
        <v>2036</v>
      </c>
      <c r="AQ653" s="306"/>
      <c r="AR653" s="306"/>
      <c r="AS653" s="306"/>
      <c r="AT653" s="306"/>
    </row>
    <row r="654" spans="1:46" ht="89.25" x14ac:dyDescent="0.25">
      <c r="A654" s="306">
        <v>59</v>
      </c>
      <c r="B654" s="306" t="str">
        <f t="shared" si="67"/>
        <v>3075-59</v>
      </c>
      <c r="C654" s="307" t="s">
        <v>1852</v>
      </c>
      <c r="D654" s="308" t="s">
        <v>1853</v>
      </c>
      <c r="E654" s="308" t="s">
        <v>1854</v>
      </c>
      <c r="F654" s="307" t="s">
        <v>1907</v>
      </c>
      <c r="G654" s="327" t="s">
        <v>1908</v>
      </c>
      <c r="H654" s="310" t="s">
        <v>1909</v>
      </c>
      <c r="I654" s="308" t="s">
        <v>1858</v>
      </c>
      <c r="J654" s="308" t="s">
        <v>1859</v>
      </c>
      <c r="K654" s="308">
        <v>801116</v>
      </c>
      <c r="L654" s="306" t="s">
        <v>1860</v>
      </c>
      <c r="M654" s="306" t="s">
        <v>59</v>
      </c>
      <c r="N654" s="306" t="s">
        <v>60</v>
      </c>
      <c r="O654" s="308" t="s">
        <v>1910</v>
      </c>
      <c r="P654" s="308" t="s">
        <v>2037</v>
      </c>
      <c r="Q654" s="315">
        <v>4532000</v>
      </c>
      <c r="R654" s="306">
        <v>2</v>
      </c>
      <c r="S654" s="312">
        <v>52530000</v>
      </c>
      <c r="T654" s="306" t="s">
        <v>900</v>
      </c>
      <c r="U654" s="306" t="s">
        <v>1906</v>
      </c>
      <c r="V654" s="313" t="s">
        <v>308</v>
      </c>
      <c r="W654" s="314">
        <v>7.5</v>
      </c>
      <c r="X654" s="306" t="s">
        <v>2038</v>
      </c>
      <c r="Y654" s="313">
        <v>43111</v>
      </c>
      <c r="Z654" s="315">
        <v>52530000</v>
      </c>
      <c r="AA654" s="316" t="s">
        <v>2039</v>
      </c>
      <c r="AB654" s="317">
        <v>452</v>
      </c>
      <c r="AC654" s="313">
        <v>43111</v>
      </c>
      <c r="AD654" s="312">
        <v>52530000</v>
      </c>
      <c r="AE654" s="318">
        <f t="shared" si="68"/>
        <v>0</v>
      </c>
      <c r="AF654" s="317">
        <v>430</v>
      </c>
      <c r="AG654" s="313">
        <v>43124</v>
      </c>
      <c r="AH654" s="312">
        <v>52530000</v>
      </c>
      <c r="AI654" s="306" t="s">
        <v>2040</v>
      </c>
      <c r="AJ654" s="306">
        <v>371</v>
      </c>
      <c r="AK654" s="318">
        <f t="shared" si="71"/>
        <v>0</v>
      </c>
      <c r="AL654" s="312">
        <f>VLOOKUP(AB654,RP,13,FALSE)</f>
        <v>11556600</v>
      </c>
      <c r="AM654" s="312">
        <f t="shared" si="69"/>
        <v>40973400</v>
      </c>
      <c r="AN654" s="306" t="s">
        <v>1863</v>
      </c>
      <c r="AO654" s="312">
        <f t="shared" si="70"/>
        <v>0</v>
      </c>
      <c r="AP654" s="306" t="s">
        <v>2041</v>
      </c>
      <c r="AQ654" s="306"/>
      <c r="AR654" s="306"/>
      <c r="AS654" s="306"/>
      <c r="AT654" s="306"/>
    </row>
    <row r="655" spans="1:46" ht="76.5" x14ac:dyDescent="0.25">
      <c r="A655" s="306">
        <v>60</v>
      </c>
      <c r="B655" s="306" t="str">
        <f t="shared" si="67"/>
        <v>3075-60</v>
      </c>
      <c r="C655" s="307" t="s">
        <v>1852</v>
      </c>
      <c r="D655" s="308" t="s">
        <v>1853</v>
      </c>
      <c r="E655" s="308" t="s">
        <v>1854</v>
      </c>
      <c r="F655" s="307" t="s">
        <v>1907</v>
      </c>
      <c r="G655" s="327" t="s">
        <v>1908</v>
      </c>
      <c r="H655" s="310" t="s">
        <v>1909</v>
      </c>
      <c r="I655" s="308" t="s">
        <v>1858</v>
      </c>
      <c r="J655" s="308" t="s">
        <v>1859</v>
      </c>
      <c r="K655" s="308">
        <v>801116</v>
      </c>
      <c r="L655" s="306" t="s">
        <v>1860</v>
      </c>
      <c r="M655" s="306" t="s">
        <v>59</v>
      </c>
      <c r="N655" s="306" t="s">
        <v>60</v>
      </c>
      <c r="O655" s="308" t="s">
        <v>1910</v>
      </c>
      <c r="P655" s="308" t="s">
        <v>2042</v>
      </c>
      <c r="Q655" s="315">
        <v>7210000</v>
      </c>
      <c r="R655" s="306">
        <v>3</v>
      </c>
      <c r="S655" s="312">
        <v>0</v>
      </c>
      <c r="T655" s="306"/>
      <c r="U655" s="306" t="s">
        <v>1906</v>
      </c>
      <c r="V655" s="313"/>
      <c r="W655" s="314">
        <v>8.3333333333333339</v>
      </c>
      <c r="X655" s="306"/>
      <c r="Y655" s="313"/>
      <c r="Z655" s="315"/>
      <c r="AA655" s="316"/>
      <c r="AB655" s="317"/>
      <c r="AC655" s="313"/>
      <c r="AD655" s="312"/>
      <c r="AE655" s="318">
        <f t="shared" si="68"/>
        <v>0</v>
      </c>
      <c r="AF655" s="317"/>
      <c r="AG655" s="313"/>
      <c r="AH655" s="312"/>
      <c r="AI655" s="306"/>
      <c r="AJ655" s="306"/>
      <c r="AK655" s="318">
        <f t="shared" si="71"/>
        <v>0</v>
      </c>
      <c r="AL655" s="312">
        <v>0</v>
      </c>
      <c r="AM655" s="312">
        <f t="shared" si="69"/>
        <v>0</v>
      </c>
      <c r="AN655" s="306" t="s">
        <v>1863</v>
      </c>
      <c r="AO655" s="312">
        <f t="shared" si="70"/>
        <v>0</v>
      </c>
      <c r="AP655" s="306"/>
      <c r="AQ655" s="306"/>
      <c r="AR655" s="306"/>
      <c r="AS655" s="306"/>
      <c r="AT655" s="306"/>
    </row>
    <row r="656" spans="1:46" ht="76.5" x14ac:dyDescent="0.25">
      <c r="A656" s="306">
        <v>61</v>
      </c>
      <c r="B656" s="306" t="str">
        <f t="shared" si="67"/>
        <v>3075-61</v>
      </c>
      <c r="C656" s="307" t="s">
        <v>1852</v>
      </c>
      <c r="D656" s="308" t="s">
        <v>1853</v>
      </c>
      <c r="E656" s="308" t="s">
        <v>1854</v>
      </c>
      <c r="F656" s="307" t="s">
        <v>1907</v>
      </c>
      <c r="G656" s="327" t="s">
        <v>1908</v>
      </c>
      <c r="H656" s="310" t="s">
        <v>1909</v>
      </c>
      <c r="I656" s="308" t="s">
        <v>1858</v>
      </c>
      <c r="J656" s="308" t="s">
        <v>1859</v>
      </c>
      <c r="K656" s="308">
        <v>801116</v>
      </c>
      <c r="L656" s="306" t="s">
        <v>1860</v>
      </c>
      <c r="M656" s="306" t="s">
        <v>59</v>
      </c>
      <c r="N656" s="306" t="s">
        <v>60</v>
      </c>
      <c r="O656" s="308" t="s">
        <v>1910</v>
      </c>
      <c r="P656" s="308" t="s">
        <v>2043</v>
      </c>
      <c r="Q656" s="315">
        <v>4532000</v>
      </c>
      <c r="R656" s="306">
        <v>1</v>
      </c>
      <c r="S656" s="312">
        <v>27192000</v>
      </c>
      <c r="T656" s="306" t="s">
        <v>900</v>
      </c>
      <c r="U656" s="306" t="s">
        <v>1906</v>
      </c>
      <c r="V656" s="313" t="s">
        <v>308</v>
      </c>
      <c r="W656" s="314">
        <v>6</v>
      </c>
      <c r="X656" s="306" t="s">
        <v>2044</v>
      </c>
      <c r="Y656" s="313">
        <v>43103</v>
      </c>
      <c r="Z656" s="315">
        <v>27192000</v>
      </c>
      <c r="AA656" s="316" t="s">
        <v>63</v>
      </c>
      <c r="AB656" s="317">
        <v>333</v>
      </c>
      <c r="AC656" s="313">
        <v>43110</v>
      </c>
      <c r="AD656" s="312">
        <v>27192000</v>
      </c>
      <c r="AE656" s="318">
        <f t="shared" si="68"/>
        <v>0</v>
      </c>
      <c r="AF656" s="317">
        <v>436</v>
      </c>
      <c r="AG656" s="313">
        <v>43125</v>
      </c>
      <c r="AH656" s="312">
        <v>27192000</v>
      </c>
      <c r="AI656" s="306" t="s">
        <v>2045</v>
      </c>
      <c r="AJ656" s="306">
        <v>376</v>
      </c>
      <c r="AK656" s="318">
        <f t="shared" si="71"/>
        <v>0</v>
      </c>
      <c r="AL656" s="312">
        <f t="shared" ref="AL656:AL665" si="75">VLOOKUP(AB656,RP,13,FALSE)</f>
        <v>9970400</v>
      </c>
      <c r="AM656" s="312">
        <f t="shared" si="69"/>
        <v>17221600</v>
      </c>
      <c r="AN656" s="306" t="s">
        <v>1863</v>
      </c>
      <c r="AO656" s="312">
        <f t="shared" si="70"/>
        <v>0</v>
      </c>
      <c r="AP656" s="306"/>
      <c r="AQ656" s="306"/>
      <c r="AR656" s="306"/>
      <c r="AS656" s="306"/>
      <c r="AT656" s="306"/>
    </row>
    <row r="657" spans="1:46" ht="76.5" x14ac:dyDescent="0.25">
      <c r="A657" s="306">
        <v>62</v>
      </c>
      <c r="B657" s="306" t="str">
        <f t="shared" si="67"/>
        <v>3075-62</v>
      </c>
      <c r="C657" s="307" t="s">
        <v>1852</v>
      </c>
      <c r="D657" s="308" t="s">
        <v>1853</v>
      </c>
      <c r="E657" s="308" t="s">
        <v>1854</v>
      </c>
      <c r="F657" s="307" t="s">
        <v>1907</v>
      </c>
      <c r="G657" s="327" t="s">
        <v>1908</v>
      </c>
      <c r="H657" s="310" t="s">
        <v>1909</v>
      </c>
      <c r="I657" s="308" t="s">
        <v>1858</v>
      </c>
      <c r="J657" s="308" t="s">
        <v>1859</v>
      </c>
      <c r="K657" s="308">
        <v>801116</v>
      </c>
      <c r="L657" s="306" t="s">
        <v>1860</v>
      </c>
      <c r="M657" s="306" t="s">
        <v>59</v>
      </c>
      <c r="N657" s="306" t="s">
        <v>60</v>
      </c>
      <c r="O657" s="308" t="s">
        <v>1910</v>
      </c>
      <c r="P657" s="308" t="s">
        <v>1964</v>
      </c>
      <c r="Q657" s="315">
        <v>3553500</v>
      </c>
      <c r="R657" s="306">
        <v>2</v>
      </c>
      <c r="S657" s="312">
        <v>17767500</v>
      </c>
      <c r="T657" s="306" t="s">
        <v>900</v>
      </c>
      <c r="U657" s="306" t="s">
        <v>1906</v>
      </c>
      <c r="V657" s="313" t="s">
        <v>308</v>
      </c>
      <c r="W657" s="314">
        <v>8</v>
      </c>
      <c r="X657" s="306" t="s">
        <v>2046</v>
      </c>
      <c r="Y657" s="313">
        <v>43111</v>
      </c>
      <c r="Z657" s="315">
        <v>17767500</v>
      </c>
      <c r="AA657" s="316" t="s">
        <v>2047</v>
      </c>
      <c r="AB657" s="317">
        <v>446</v>
      </c>
      <c r="AC657" s="313">
        <v>43111</v>
      </c>
      <c r="AD657" s="312">
        <v>17767500</v>
      </c>
      <c r="AE657" s="318">
        <f t="shared" si="68"/>
        <v>0</v>
      </c>
      <c r="AF657" s="317">
        <v>385</v>
      </c>
      <c r="AG657" s="313">
        <v>43124</v>
      </c>
      <c r="AH657" s="312">
        <v>17767500</v>
      </c>
      <c r="AI657" s="306" t="s">
        <v>2048</v>
      </c>
      <c r="AJ657" s="306">
        <v>328</v>
      </c>
      <c r="AK657" s="318">
        <f t="shared" si="71"/>
        <v>0</v>
      </c>
      <c r="AL657" s="312">
        <f t="shared" si="75"/>
        <v>7936150</v>
      </c>
      <c r="AM657" s="312">
        <f t="shared" si="69"/>
        <v>9831350</v>
      </c>
      <c r="AN657" s="306" t="s">
        <v>1863</v>
      </c>
      <c r="AO657" s="312">
        <f t="shared" si="70"/>
        <v>0</v>
      </c>
      <c r="AP657" s="306"/>
      <c r="AQ657" s="306"/>
      <c r="AR657" s="306"/>
      <c r="AS657" s="306"/>
      <c r="AT657" s="306"/>
    </row>
    <row r="658" spans="1:46" ht="76.5" x14ac:dyDescent="0.25">
      <c r="A658" s="306">
        <v>63</v>
      </c>
      <c r="B658" s="306" t="str">
        <f t="shared" si="67"/>
        <v>3075-63</v>
      </c>
      <c r="C658" s="307" t="s">
        <v>1852</v>
      </c>
      <c r="D658" s="308" t="s">
        <v>1853</v>
      </c>
      <c r="E658" s="308" t="s">
        <v>1854</v>
      </c>
      <c r="F658" s="307" t="s">
        <v>1907</v>
      </c>
      <c r="G658" s="327" t="s">
        <v>1908</v>
      </c>
      <c r="H658" s="310" t="s">
        <v>1909</v>
      </c>
      <c r="I658" s="308" t="s">
        <v>1858</v>
      </c>
      <c r="J658" s="308" t="s">
        <v>1859</v>
      </c>
      <c r="K658" s="308">
        <v>801116</v>
      </c>
      <c r="L658" s="306" t="s">
        <v>1860</v>
      </c>
      <c r="M658" s="306" t="s">
        <v>59</v>
      </c>
      <c r="N658" s="306" t="s">
        <v>60</v>
      </c>
      <c r="O658" s="308" t="s">
        <v>1910</v>
      </c>
      <c r="P658" s="308" t="s">
        <v>2049</v>
      </c>
      <c r="Q658" s="315">
        <v>3326900</v>
      </c>
      <c r="R658" s="306">
        <v>1</v>
      </c>
      <c r="S658" s="312">
        <v>19961400</v>
      </c>
      <c r="T658" s="306" t="s">
        <v>934</v>
      </c>
      <c r="U658" s="306" t="s">
        <v>1906</v>
      </c>
      <c r="V658" s="313" t="s">
        <v>308</v>
      </c>
      <c r="W658" s="314">
        <v>6</v>
      </c>
      <c r="X658" s="306" t="s">
        <v>2050</v>
      </c>
      <c r="Y658" s="313">
        <v>43103</v>
      </c>
      <c r="Z658" s="315">
        <v>19961400</v>
      </c>
      <c r="AA658" s="316" t="s">
        <v>63</v>
      </c>
      <c r="AB658" s="317">
        <v>326</v>
      </c>
      <c r="AC658" s="313">
        <v>43110</v>
      </c>
      <c r="AD658" s="312">
        <v>19961400</v>
      </c>
      <c r="AE658" s="318">
        <f t="shared" si="68"/>
        <v>0</v>
      </c>
      <c r="AF658" s="317">
        <v>427</v>
      </c>
      <c r="AG658" s="313">
        <v>43124</v>
      </c>
      <c r="AH658" s="312">
        <v>19961400</v>
      </c>
      <c r="AI658" s="306" t="s">
        <v>2051</v>
      </c>
      <c r="AJ658" s="306">
        <v>362</v>
      </c>
      <c r="AK658" s="318">
        <f t="shared" si="71"/>
        <v>0</v>
      </c>
      <c r="AL658" s="312">
        <f t="shared" si="75"/>
        <v>7319180</v>
      </c>
      <c r="AM658" s="312">
        <f t="shared" si="69"/>
        <v>12642220</v>
      </c>
      <c r="AN658" s="306" t="s">
        <v>1863</v>
      </c>
      <c r="AO658" s="312">
        <f t="shared" si="70"/>
        <v>0</v>
      </c>
      <c r="AP658" s="306"/>
      <c r="AQ658" s="306"/>
      <c r="AR658" s="306"/>
      <c r="AS658" s="306"/>
      <c r="AT658" s="306"/>
    </row>
    <row r="659" spans="1:46" ht="76.5" x14ac:dyDescent="0.25">
      <c r="A659" s="306">
        <v>64</v>
      </c>
      <c r="B659" s="306" t="str">
        <f t="shared" si="67"/>
        <v>3075-64</v>
      </c>
      <c r="C659" s="307" t="s">
        <v>1852</v>
      </c>
      <c r="D659" s="308" t="s">
        <v>1853</v>
      </c>
      <c r="E659" s="308" t="s">
        <v>1854</v>
      </c>
      <c r="F659" s="307" t="s">
        <v>1907</v>
      </c>
      <c r="G659" s="327" t="s">
        <v>1908</v>
      </c>
      <c r="H659" s="310" t="s">
        <v>1909</v>
      </c>
      <c r="I659" s="308" t="s">
        <v>1858</v>
      </c>
      <c r="J659" s="308" t="s">
        <v>1859</v>
      </c>
      <c r="K659" s="308">
        <v>801116</v>
      </c>
      <c r="L659" s="306" t="s">
        <v>1860</v>
      </c>
      <c r="M659" s="306" t="s">
        <v>59</v>
      </c>
      <c r="N659" s="306" t="s">
        <v>60</v>
      </c>
      <c r="O659" s="308" t="s">
        <v>1910</v>
      </c>
      <c r="P659" s="308" t="s">
        <v>1997</v>
      </c>
      <c r="Q659" s="315">
        <v>5253000</v>
      </c>
      <c r="R659" s="306">
        <v>1</v>
      </c>
      <c r="S659" s="312">
        <v>31518000</v>
      </c>
      <c r="T659" s="306" t="s">
        <v>900</v>
      </c>
      <c r="U659" s="306" t="s">
        <v>1906</v>
      </c>
      <c r="V659" s="313" t="s">
        <v>308</v>
      </c>
      <c r="W659" s="314">
        <v>6</v>
      </c>
      <c r="X659" s="306" t="s">
        <v>2052</v>
      </c>
      <c r="Y659" s="313">
        <v>43103</v>
      </c>
      <c r="Z659" s="315">
        <v>31518000</v>
      </c>
      <c r="AA659" s="316" t="s">
        <v>63</v>
      </c>
      <c r="AB659" s="317">
        <v>311</v>
      </c>
      <c r="AC659" s="313">
        <v>43110</v>
      </c>
      <c r="AD659" s="312">
        <v>31518000</v>
      </c>
      <c r="AE659" s="318">
        <f t="shared" si="68"/>
        <v>0</v>
      </c>
      <c r="AF659" s="317">
        <v>454</v>
      </c>
      <c r="AG659" s="313">
        <v>43125</v>
      </c>
      <c r="AH659" s="312">
        <v>31518000</v>
      </c>
      <c r="AI659" s="306" t="s">
        <v>2053</v>
      </c>
      <c r="AJ659" s="306">
        <v>384</v>
      </c>
      <c r="AK659" s="318">
        <f t="shared" si="71"/>
        <v>0</v>
      </c>
      <c r="AL659" s="312">
        <f t="shared" si="75"/>
        <v>11381500</v>
      </c>
      <c r="AM659" s="312">
        <f t="shared" si="69"/>
        <v>20136500</v>
      </c>
      <c r="AN659" s="306" t="s">
        <v>1863</v>
      </c>
      <c r="AO659" s="312">
        <f t="shared" si="70"/>
        <v>0</v>
      </c>
      <c r="AP659" s="306"/>
      <c r="AQ659" s="306"/>
      <c r="AR659" s="306"/>
      <c r="AS659" s="306"/>
      <c r="AT659" s="306"/>
    </row>
    <row r="660" spans="1:46" ht="89.25" x14ac:dyDescent="0.25">
      <c r="A660" s="306">
        <v>65</v>
      </c>
      <c r="B660" s="306" t="str">
        <f t="shared" ref="B660:B723" si="76">CONCATENATE("3075","-",A660)</f>
        <v>3075-65</v>
      </c>
      <c r="C660" s="307" t="s">
        <v>1852</v>
      </c>
      <c r="D660" s="308" t="s">
        <v>1853</v>
      </c>
      <c r="E660" s="308" t="s">
        <v>1854</v>
      </c>
      <c r="F660" s="307" t="s">
        <v>1907</v>
      </c>
      <c r="G660" s="327" t="s">
        <v>1908</v>
      </c>
      <c r="H660" s="310" t="s">
        <v>1909</v>
      </c>
      <c r="I660" s="308" t="s">
        <v>1858</v>
      </c>
      <c r="J660" s="308" t="s">
        <v>1859</v>
      </c>
      <c r="K660" s="308">
        <v>801116</v>
      </c>
      <c r="L660" s="306" t="s">
        <v>1860</v>
      </c>
      <c r="M660" s="306" t="s">
        <v>59</v>
      </c>
      <c r="N660" s="306" t="s">
        <v>60</v>
      </c>
      <c r="O660" s="308" t="s">
        <v>1910</v>
      </c>
      <c r="P660" s="308" t="s">
        <v>2054</v>
      </c>
      <c r="Q660" s="315">
        <v>5036700</v>
      </c>
      <c r="R660" s="306">
        <v>1</v>
      </c>
      <c r="S660" s="312">
        <v>50367000</v>
      </c>
      <c r="T660" s="306" t="s">
        <v>900</v>
      </c>
      <c r="U660" s="306" t="s">
        <v>1906</v>
      </c>
      <c r="V660" s="313" t="s">
        <v>308</v>
      </c>
      <c r="W660" s="314">
        <v>10</v>
      </c>
      <c r="X660" s="306" t="s">
        <v>2055</v>
      </c>
      <c r="Y660" s="313">
        <v>43103</v>
      </c>
      <c r="Z660" s="315">
        <v>50367000</v>
      </c>
      <c r="AA660" s="316" t="s">
        <v>63</v>
      </c>
      <c r="AB660" s="317">
        <v>325</v>
      </c>
      <c r="AC660" s="313">
        <v>43110</v>
      </c>
      <c r="AD660" s="312">
        <v>50367000</v>
      </c>
      <c r="AE660" s="318">
        <f t="shared" ref="AE660:AE723" si="77">S660-Z660</f>
        <v>0</v>
      </c>
      <c r="AF660" s="317">
        <v>249</v>
      </c>
      <c r="AG660" s="313">
        <v>43119</v>
      </c>
      <c r="AH660" s="312">
        <v>50367000</v>
      </c>
      <c r="AI660" s="306" t="s">
        <v>2056</v>
      </c>
      <c r="AJ660" s="306">
        <v>206</v>
      </c>
      <c r="AK660" s="318">
        <f t="shared" si="71"/>
        <v>0</v>
      </c>
      <c r="AL660" s="312">
        <f t="shared" si="75"/>
        <v>12088080</v>
      </c>
      <c r="AM660" s="312">
        <f t="shared" ref="AM660:AM723" si="78">AH660-AL660</f>
        <v>38278920</v>
      </c>
      <c r="AN660" s="306" t="s">
        <v>1863</v>
      </c>
      <c r="AO660" s="312">
        <f t="shared" ref="AO660:AO723" si="79">S660-AH660</f>
        <v>0</v>
      </c>
      <c r="AP660" s="306"/>
      <c r="AQ660" s="306"/>
      <c r="AR660" s="306"/>
      <c r="AS660" s="306"/>
      <c r="AT660" s="306"/>
    </row>
    <row r="661" spans="1:46" ht="89.25" x14ac:dyDescent="0.25">
      <c r="A661" s="306">
        <v>66</v>
      </c>
      <c r="B661" s="306" t="str">
        <f t="shared" si="76"/>
        <v>3075-66</v>
      </c>
      <c r="C661" s="307" t="s">
        <v>1852</v>
      </c>
      <c r="D661" s="308" t="s">
        <v>1853</v>
      </c>
      <c r="E661" s="308" t="s">
        <v>1854</v>
      </c>
      <c r="F661" s="307" t="s">
        <v>1907</v>
      </c>
      <c r="G661" s="327" t="s">
        <v>1908</v>
      </c>
      <c r="H661" s="310" t="s">
        <v>1909</v>
      </c>
      <c r="I661" s="308" t="s">
        <v>1858</v>
      </c>
      <c r="J661" s="308" t="s">
        <v>1859</v>
      </c>
      <c r="K661" s="308">
        <v>801116</v>
      </c>
      <c r="L661" s="306" t="s">
        <v>1860</v>
      </c>
      <c r="M661" s="306" t="s">
        <v>59</v>
      </c>
      <c r="N661" s="306" t="s">
        <v>60</v>
      </c>
      <c r="O661" s="308" t="s">
        <v>1910</v>
      </c>
      <c r="P661" s="308" t="s">
        <v>1989</v>
      </c>
      <c r="Q661" s="315">
        <v>7210000</v>
      </c>
      <c r="R661" s="306">
        <v>1</v>
      </c>
      <c r="S661" s="312">
        <v>72100000</v>
      </c>
      <c r="T661" s="306" t="s">
        <v>900</v>
      </c>
      <c r="U661" s="306" t="s">
        <v>1906</v>
      </c>
      <c r="V661" s="313" t="s">
        <v>308</v>
      </c>
      <c r="W661" s="314">
        <v>10</v>
      </c>
      <c r="X661" s="306" t="s">
        <v>2057</v>
      </c>
      <c r="Y661" s="313">
        <v>43103</v>
      </c>
      <c r="Z661" s="315">
        <v>72100000</v>
      </c>
      <c r="AA661" s="316" t="s">
        <v>63</v>
      </c>
      <c r="AB661" s="317">
        <v>339</v>
      </c>
      <c r="AC661" s="313">
        <v>43110</v>
      </c>
      <c r="AD661" s="312">
        <v>72100000</v>
      </c>
      <c r="AE661" s="318">
        <f t="shared" si="77"/>
        <v>0</v>
      </c>
      <c r="AF661" s="317">
        <v>500</v>
      </c>
      <c r="AG661" s="313">
        <v>43126</v>
      </c>
      <c r="AH661" s="312">
        <v>72100000</v>
      </c>
      <c r="AI661" s="306" t="s">
        <v>2058</v>
      </c>
      <c r="AJ661" s="306">
        <v>410</v>
      </c>
      <c r="AK661" s="318">
        <f t="shared" ref="AK661:AK724" si="80">AD661-AH661</f>
        <v>0</v>
      </c>
      <c r="AL661" s="312">
        <f t="shared" si="75"/>
        <v>14900667</v>
      </c>
      <c r="AM661" s="312">
        <f t="shared" si="78"/>
        <v>57199333</v>
      </c>
      <c r="AN661" s="306" t="s">
        <v>1863</v>
      </c>
      <c r="AO661" s="312">
        <f t="shared" si="79"/>
        <v>0</v>
      </c>
      <c r="AP661" s="306"/>
      <c r="AQ661" s="306"/>
      <c r="AR661" s="306"/>
      <c r="AS661" s="306"/>
      <c r="AT661" s="306"/>
    </row>
    <row r="662" spans="1:46" ht="76.5" x14ac:dyDescent="0.25">
      <c r="A662" s="306">
        <v>67</v>
      </c>
      <c r="B662" s="306" t="str">
        <f t="shared" si="76"/>
        <v>3075-67</v>
      </c>
      <c r="C662" s="307" t="s">
        <v>1852</v>
      </c>
      <c r="D662" s="308" t="s">
        <v>1853</v>
      </c>
      <c r="E662" s="308" t="s">
        <v>1854</v>
      </c>
      <c r="F662" s="307" t="s">
        <v>1907</v>
      </c>
      <c r="G662" s="327" t="s">
        <v>1908</v>
      </c>
      <c r="H662" s="310" t="s">
        <v>1909</v>
      </c>
      <c r="I662" s="308" t="s">
        <v>1858</v>
      </c>
      <c r="J662" s="308" t="s">
        <v>1859</v>
      </c>
      <c r="K662" s="308">
        <v>801116</v>
      </c>
      <c r="L662" s="306" t="s">
        <v>1860</v>
      </c>
      <c r="M662" s="306" t="s">
        <v>59</v>
      </c>
      <c r="N662" s="306" t="s">
        <v>60</v>
      </c>
      <c r="O662" s="308" t="s">
        <v>1910</v>
      </c>
      <c r="P662" s="308" t="s">
        <v>2059</v>
      </c>
      <c r="Q662" s="315">
        <v>6180000</v>
      </c>
      <c r="R662" s="306">
        <v>1</v>
      </c>
      <c r="S662" s="312">
        <v>67980000</v>
      </c>
      <c r="T662" s="306" t="s">
        <v>900</v>
      </c>
      <c r="U662" s="306" t="s">
        <v>1906</v>
      </c>
      <c r="V662" s="313" t="s">
        <v>308</v>
      </c>
      <c r="W662" s="314">
        <v>11</v>
      </c>
      <c r="X662" s="306" t="s">
        <v>2060</v>
      </c>
      <c r="Y662" s="313">
        <v>43103</v>
      </c>
      <c r="Z662" s="315">
        <v>67980000</v>
      </c>
      <c r="AA662" s="316" t="s">
        <v>63</v>
      </c>
      <c r="AB662" s="317">
        <v>341</v>
      </c>
      <c r="AC662" s="313">
        <v>43110</v>
      </c>
      <c r="AD662" s="312">
        <v>67980000</v>
      </c>
      <c r="AE662" s="318">
        <f t="shared" si="77"/>
        <v>0</v>
      </c>
      <c r="AF662" s="317">
        <v>91</v>
      </c>
      <c r="AG662" s="313">
        <v>43116</v>
      </c>
      <c r="AH662" s="312">
        <v>67980000</v>
      </c>
      <c r="AI662" s="306" t="s">
        <v>2061</v>
      </c>
      <c r="AJ662" s="306">
        <v>80</v>
      </c>
      <c r="AK662" s="318">
        <f t="shared" si="80"/>
        <v>0</v>
      </c>
      <c r="AL662" s="312">
        <f t="shared" si="75"/>
        <v>15244000</v>
      </c>
      <c r="AM662" s="312">
        <f t="shared" si="78"/>
        <v>52736000</v>
      </c>
      <c r="AN662" s="306" t="s">
        <v>1863</v>
      </c>
      <c r="AO662" s="312">
        <f t="shared" si="79"/>
        <v>0</v>
      </c>
      <c r="AP662" s="306"/>
      <c r="AQ662" s="306"/>
      <c r="AR662" s="306"/>
      <c r="AS662" s="306"/>
      <c r="AT662" s="306"/>
    </row>
    <row r="663" spans="1:46" ht="89.25" x14ac:dyDescent="0.25">
      <c r="A663" s="306">
        <v>68</v>
      </c>
      <c r="B663" s="306" t="str">
        <f t="shared" si="76"/>
        <v>3075-68</v>
      </c>
      <c r="C663" s="307" t="s">
        <v>1852</v>
      </c>
      <c r="D663" s="308" t="s">
        <v>1853</v>
      </c>
      <c r="E663" s="308" t="s">
        <v>1854</v>
      </c>
      <c r="F663" s="307" t="s">
        <v>1907</v>
      </c>
      <c r="G663" s="327" t="s">
        <v>1908</v>
      </c>
      <c r="H663" s="310" t="s">
        <v>1909</v>
      </c>
      <c r="I663" s="308" t="s">
        <v>1858</v>
      </c>
      <c r="J663" s="308" t="s">
        <v>1859</v>
      </c>
      <c r="K663" s="308">
        <v>801116</v>
      </c>
      <c r="L663" s="306" t="s">
        <v>1860</v>
      </c>
      <c r="M663" s="306" t="s">
        <v>59</v>
      </c>
      <c r="N663" s="306" t="s">
        <v>60</v>
      </c>
      <c r="O663" s="308" t="s">
        <v>1910</v>
      </c>
      <c r="P663" s="308" t="s">
        <v>2062</v>
      </c>
      <c r="Q663" s="315">
        <v>5036700</v>
      </c>
      <c r="R663" s="306">
        <v>1</v>
      </c>
      <c r="S663" s="312">
        <v>50367000</v>
      </c>
      <c r="T663" s="306" t="s">
        <v>900</v>
      </c>
      <c r="U663" s="306" t="s">
        <v>1906</v>
      </c>
      <c r="V663" s="313" t="s">
        <v>308</v>
      </c>
      <c r="W663" s="314">
        <v>10</v>
      </c>
      <c r="X663" s="306" t="s">
        <v>2063</v>
      </c>
      <c r="Y663" s="313">
        <v>43103</v>
      </c>
      <c r="Z663" s="315">
        <v>50367000</v>
      </c>
      <c r="AA663" s="316" t="s">
        <v>63</v>
      </c>
      <c r="AB663" s="317">
        <v>330</v>
      </c>
      <c r="AC663" s="313">
        <v>43110</v>
      </c>
      <c r="AD663" s="312">
        <v>50367000</v>
      </c>
      <c r="AE663" s="318">
        <f t="shared" si="77"/>
        <v>0</v>
      </c>
      <c r="AF663" s="317">
        <v>89</v>
      </c>
      <c r="AG663" s="313">
        <v>43116</v>
      </c>
      <c r="AH663" s="312">
        <v>50367000</v>
      </c>
      <c r="AI663" s="306" t="s">
        <v>2064</v>
      </c>
      <c r="AJ663" s="306">
        <v>77</v>
      </c>
      <c r="AK663" s="318">
        <f t="shared" si="80"/>
        <v>0</v>
      </c>
      <c r="AL663" s="312">
        <f t="shared" si="75"/>
        <v>12423860</v>
      </c>
      <c r="AM663" s="312">
        <f t="shared" si="78"/>
        <v>37943140</v>
      </c>
      <c r="AN663" s="306" t="s">
        <v>1863</v>
      </c>
      <c r="AO663" s="312">
        <f t="shared" si="79"/>
        <v>0</v>
      </c>
      <c r="AP663" s="306"/>
      <c r="AQ663" s="306"/>
      <c r="AR663" s="306"/>
      <c r="AS663" s="306"/>
      <c r="AT663" s="306"/>
    </row>
    <row r="664" spans="1:46" ht="76.5" x14ac:dyDescent="0.25">
      <c r="A664" s="306">
        <v>69</v>
      </c>
      <c r="B664" s="306" t="str">
        <f t="shared" si="76"/>
        <v>3075-69</v>
      </c>
      <c r="C664" s="307" t="s">
        <v>1852</v>
      </c>
      <c r="D664" s="308" t="s">
        <v>1853</v>
      </c>
      <c r="E664" s="308" t="s">
        <v>1854</v>
      </c>
      <c r="F664" s="307" t="s">
        <v>1907</v>
      </c>
      <c r="G664" s="327" t="s">
        <v>1908</v>
      </c>
      <c r="H664" s="310" t="s">
        <v>1909</v>
      </c>
      <c r="I664" s="308" t="s">
        <v>1858</v>
      </c>
      <c r="J664" s="308" t="s">
        <v>1859</v>
      </c>
      <c r="K664" s="308">
        <v>801116</v>
      </c>
      <c r="L664" s="306" t="s">
        <v>1860</v>
      </c>
      <c r="M664" s="306" t="s">
        <v>59</v>
      </c>
      <c r="N664" s="306" t="s">
        <v>60</v>
      </c>
      <c r="O664" s="308" t="s">
        <v>1910</v>
      </c>
      <c r="P664" s="308" t="s">
        <v>2065</v>
      </c>
      <c r="Q664" s="315">
        <v>3553500</v>
      </c>
      <c r="R664" s="306">
        <v>1</v>
      </c>
      <c r="S664" s="312">
        <v>35535000</v>
      </c>
      <c r="T664" s="306" t="s">
        <v>900</v>
      </c>
      <c r="U664" s="306" t="s">
        <v>1906</v>
      </c>
      <c r="V664" s="313" t="s">
        <v>308</v>
      </c>
      <c r="W664" s="314">
        <v>10</v>
      </c>
      <c r="X664" s="306" t="s">
        <v>2066</v>
      </c>
      <c r="Y664" s="313">
        <v>43102</v>
      </c>
      <c r="Z664" s="315">
        <v>35535000</v>
      </c>
      <c r="AA664" s="316" t="s">
        <v>63</v>
      </c>
      <c r="AB664" s="317">
        <v>409</v>
      </c>
      <c r="AC664" s="313">
        <v>43110</v>
      </c>
      <c r="AD664" s="312">
        <v>33990000</v>
      </c>
      <c r="AE664" s="318">
        <f t="shared" si="77"/>
        <v>0</v>
      </c>
      <c r="AF664" s="317">
        <v>474</v>
      </c>
      <c r="AG664" s="313">
        <v>43126</v>
      </c>
      <c r="AH664" s="312">
        <v>33990000</v>
      </c>
      <c r="AI664" s="306" t="s">
        <v>2067</v>
      </c>
      <c r="AJ664" s="306">
        <v>400</v>
      </c>
      <c r="AK664" s="318">
        <f t="shared" si="80"/>
        <v>0</v>
      </c>
      <c r="AL664" s="312">
        <f t="shared" si="75"/>
        <v>7364500</v>
      </c>
      <c r="AM664" s="312">
        <f t="shared" si="78"/>
        <v>26625500</v>
      </c>
      <c r="AN664" s="306" t="s">
        <v>1863</v>
      </c>
      <c r="AO664" s="312">
        <f t="shared" si="79"/>
        <v>1545000</v>
      </c>
      <c r="AP664" s="306"/>
      <c r="AQ664" s="306"/>
      <c r="AR664" s="306"/>
      <c r="AS664" s="306"/>
      <c r="AT664" s="306"/>
    </row>
    <row r="665" spans="1:46" ht="76.5" x14ac:dyDescent="0.25">
      <c r="A665" s="306">
        <v>70</v>
      </c>
      <c r="B665" s="306" t="str">
        <f t="shared" si="76"/>
        <v>3075-70</v>
      </c>
      <c r="C665" s="307" t="s">
        <v>1852</v>
      </c>
      <c r="D665" s="308" t="s">
        <v>1853</v>
      </c>
      <c r="E665" s="308" t="s">
        <v>1854</v>
      </c>
      <c r="F665" s="307" t="s">
        <v>1907</v>
      </c>
      <c r="G665" s="327" t="s">
        <v>1908</v>
      </c>
      <c r="H665" s="310" t="s">
        <v>1909</v>
      </c>
      <c r="I665" s="308" t="s">
        <v>1858</v>
      </c>
      <c r="J665" s="308" t="s">
        <v>1859</v>
      </c>
      <c r="K665" s="308">
        <v>801116</v>
      </c>
      <c r="L665" s="306" t="s">
        <v>1860</v>
      </c>
      <c r="M665" s="306" t="s">
        <v>59</v>
      </c>
      <c r="N665" s="306" t="s">
        <v>60</v>
      </c>
      <c r="O665" s="308" t="s">
        <v>1910</v>
      </c>
      <c r="P665" s="308" t="s">
        <v>2065</v>
      </c>
      <c r="Q665" s="315">
        <v>3399000</v>
      </c>
      <c r="R665" s="306">
        <v>2</v>
      </c>
      <c r="S665" s="312">
        <v>37389000</v>
      </c>
      <c r="T665" s="306" t="s">
        <v>900</v>
      </c>
      <c r="U665" s="306" t="s">
        <v>1906</v>
      </c>
      <c r="V665" s="313" t="s">
        <v>308</v>
      </c>
      <c r="W665" s="314">
        <v>9.5</v>
      </c>
      <c r="X665" s="306" t="s">
        <v>2068</v>
      </c>
      <c r="Y665" s="313">
        <v>43102</v>
      </c>
      <c r="Z665" s="315">
        <v>37389000</v>
      </c>
      <c r="AA665" s="316" t="s">
        <v>63</v>
      </c>
      <c r="AB665" s="317">
        <v>345</v>
      </c>
      <c r="AC665" s="313">
        <v>43110</v>
      </c>
      <c r="AD665" s="312">
        <v>37389000</v>
      </c>
      <c r="AE665" s="318">
        <f t="shared" si="77"/>
        <v>0</v>
      </c>
      <c r="AF665" s="317">
        <v>92</v>
      </c>
      <c r="AG665" s="313">
        <v>43116</v>
      </c>
      <c r="AH665" s="312">
        <v>37389000</v>
      </c>
      <c r="AI665" s="306" t="s">
        <v>2069</v>
      </c>
      <c r="AJ665" s="306">
        <v>79</v>
      </c>
      <c r="AK665" s="318">
        <f t="shared" si="80"/>
        <v>0</v>
      </c>
      <c r="AL665" s="312">
        <f t="shared" si="75"/>
        <v>8384200</v>
      </c>
      <c r="AM665" s="312">
        <f t="shared" si="78"/>
        <v>29004800</v>
      </c>
      <c r="AN665" s="306" t="s">
        <v>1863</v>
      </c>
      <c r="AO665" s="312">
        <f t="shared" si="79"/>
        <v>0</v>
      </c>
      <c r="AP665" s="306"/>
      <c r="AQ665" s="306"/>
      <c r="AR665" s="306"/>
      <c r="AS665" s="306"/>
      <c r="AT665" s="306"/>
    </row>
    <row r="666" spans="1:46" ht="76.5" x14ac:dyDescent="0.25">
      <c r="A666" s="306">
        <v>71</v>
      </c>
      <c r="B666" s="306" t="str">
        <f t="shared" si="76"/>
        <v>3075-71</v>
      </c>
      <c r="C666" s="307" t="s">
        <v>1852</v>
      </c>
      <c r="D666" s="308" t="s">
        <v>1853</v>
      </c>
      <c r="E666" s="308" t="s">
        <v>1854</v>
      </c>
      <c r="F666" s="307" t="s">
        <v>1907</v>
      </c>
      <c r="G666" s="327" t="s">
        <v>1908</v>
      </c>
      <c r="H666" s="310" t="s">
        <v>1909</v>
      </c>
      <c r="I666" s="308" t="s">
        <v>1858</v>
      </c>
      <c r="J666" s="308" t="s">
        <v>1859</v>
      </c>
      <c r="K666" s="308">
        <v>801116</v>
      </c>
      <c r="L666" s="306" t="s">
        <v>1860</v>
      </c>
      <c r="M666" s="306" t="s">
        <v>59</v>
      </c>
      <c r="N666" s="306" t="s">
        <v>60</v>
      </c>
      <c r="O666" s="308" t="s">
        <v>1910</v>
      </c>
      <c r="P666" s="308" t="s">
        <v>2070</v>
      </c>
      <c r="Q666" s="315">
        <v>3038500</v>
      </c>
      <c r="R666" s="306">
        <v>2</v>
      </c>
      <c r="S666" s="312">
        <v>0</v>
      </c>
      <c r="T666" s="306"/>
      <c r="U666" s="306" t="s">
        <v>1906</v>
      </c>
      <c r="V666" s="313"/>
      <c r="W666" s="314">
        <v>9</v>
      </c>
      <c r="X666" s="306"/>
      <c r="Y666" s="313"/>
      <c r="Z666" s="315"/>
      <c r="AA666" s="316"/>
      <c r="AB666" s="317"/>
      <c r="AC666" s="313"/>
      <c r="AD666" s="312"/>
      <c r="AE666" s="318">
        <f t="shared" si="77"/>
        <v>0</v>
      </c>
      <c r="AF666" s="317"/>
      <c r="AG666" s="313"/>
      <c r="AH666" s="312"/>
      <c r="AI666" s="306"/>
      <c r="AJ666" s="306"/>
      <c r="AK666" s="318">
        <f t="shared" si="80"/>
        <v>0</v>
      </c>
      <c r="AL666" s="312">
        <v>0</v>
      </c>
      <c r="AM666" s="312">
        <f t="shared" si="78"/>
        <v>0</v>
      </c>
      <c r="AN666" s="306" t="s">
        <v>1863</v>
      </c>
      <c r="AO666" s="312">
        <f t="shared" si="79"/>
        <v>0</v>
      </c>
      <c r="AP666" s="306"/>
      <c r="AQ666" s="306"/>
      <c r="AR666" s="306"/>
      <c r="AS666" s="306"/>
      <c r="AT666" s="306"/>
    </row>
    <row r="667" spans="1:46" ht="76.5" x14ac:dyDescent="0.25">
      <c r="A667" s="306">
        <v>72</v>
      </c>
      <c r="B667" s="306" t="str">
        <f t="shared" si="76"/>
        <v>3075-72</v>
      </c>
      <c r="C667" s="307" t="s">
        <v>1852</v>
      </c>
      <c r="D667" s="308" t="s">
        <v>1853</v>
      </c>
      <c r="E667" s="308" t="s">
        <v>1854</v>
      </c>
      <c r="F667" s="307" t="s">
        <v>1907</v>
      </c>
      <c r="G667" s="327" t="s">
        <v>1908</v>
      </c>
      <c r="H667" s="310" t="s">
        <v>1909</v>
      </c>
      <c r="I667" s="308" t="s">
        <v>1858</v>
      </c>
      <c r="J667" s="308" t="s">
        <v>1859</v>
      </c>
      <c r="K667" s="308">
        <v>801116</v>
      </c>
      <c r="L667" s="306" t="s">
        <v>1860</v>
      </c>
      <c r="M667" s="306" t="s">
        <v>59</v>
      </c>
      <c r="N667" s="306" t="s">
        <v>60</v>
      </c>
      <c r="O667" s="308" t="s">
        <v>1910</v>
      </c>
      <c r="P667" s="308" t="s">
        <v>2071</v>
      </c>
      <c r="Q667" s="315">
        <v>7210000</v>
      </c>
      <c r="R667" s="306">
        <v>1</v>
      </c>
      <c r="S667" s="312">
        <v>72100000</v>
      </c>
      <c r="T667" s="306" t="s">
        <v>900</v>
      </c>
      <c r="U667" s="306" t="s">
        <v>1906</v>
      </c>
      <c r="V667" s="313" t="s">
        <v>308</v>
      </c>
      <c r="W667" s="314">
        <v>10</v>
      </c>
      <c r="X667" s="306" t="s">
        <v>2072</v>
      </c>
      <c r="Y667" s="313">
        <v>43103</v>
      </c>
      <c r="Z667" s="315">
        <v>72100000</v>
      </c>
      <c r="AA667" s="316" t="s">
        <v>63</v>
      </c>
      <c r="AB667" s="317">
        <v>348</v>
      </c>
      <c r="AC667" s="313">
        <v>43110</v>
      </c>
      <c r="AD667" s="312">
        <v>72100000</v>
      </c>
      <c r="AE667" s="318">
        <f t="shared" si="77"/>
        <v>0</v>
      </c>
      <c r="AF667" s="317">
        <v>162</v>
      </c>
      <c r="AG667" s="313">
        <v>43118</v>
      </c>
      <c r="AH667" s="312">
        <v>72100000</v>
      </c>
      <c r="AI667" s="306" t="s">
        <v>2073</v>
      </c>
      <c r="AJ667" s="306">
        <v>123</v>
      </c>
      <c r="AK667" s="318">
        <f t="shared" si="80"/>
        <v>0</v>
      </c>
      <c r="AL667" s="312">
        <f t="shared" ref="AL667:AL685" si="81">VLOOKUP(AB667,RP,13,FALSE)</f>
        <v>17544333</v>
      </c>
      <c r="AM667" s="312">
        <f t="shared" si="78"/>
        <v>54555667</v>
      </c>
      <c r="AN667" s="306" t="s">
        <v>1863</v>
      </c>
      <c r="AO667" s="312">
        <f t="shared" si="79"/>
        <v>0</v>
      </c>
      <c r="AP667" s="306"/>
      <c r="AQ667" s="306"/>
      <c r="AR667" s="306"/>
      <c r="AS667" s="306"/>
      <c r="AT667" s="306"/>
    </row>
    <row r="668" spans="1:46" ht="76.5" x14ac:dyDescent="0.25">
      <c r="A668" s="306">
        <v>73</v>
      </c>
      <c r="B668" s="306" t="str">
        <f t="shared" si="76"/>
        <v>3075-73</v>
      </c>
      <c r="C668" s="307" t="s">
        <v>1852</v>
      </c>
      <c r="D668" s="308" t="s">
        <v>1853</v>
      </c>
      <c r="E668" s="308" t="s">
        <v>1854</v>
      </c>
      <c r="F668" s="307" t="s">
        <v>1907</v>
      </c>
      <c r="G668" s="327" t="s">
        <v>1908</v>
      </c>
      <c r="H668" s="310" t="s">
        <v>1909</v>
      </c>
      <c r="I668" s="308" t="s">
        <v>1858</v>
      </c>
      <c r="J668" s="308" t="s">
        <v>1859</v>
      </c>
      <c r="K668" s="308">
        <v>801116</v>
      </c>
      <c r="L668" s="306" t="s">
        <v>1860</v>
      </c>
      <c r="M668" s="306" t="s">
        <v>59</v>
      </c>
      <c r="N668" s="306" t="s">
        <v>60</v>
      </c>
      <c r="O668" s="308" t="s">
        <v>1910</v>
      </c>
      <c r="P668" s="308" t="s">
        <v>2071</v>
      </c>
      <c r="Q668" s="315">
        <v>6695000</v>
      </c>
      <c r="R668" s="306">
        <v>1</v>
      </c>
      <c r="S668" s="312">
        <v>66950000</v>
      </c>
      <c r="T668" s="306" t="s">
        <v>900</v>
      </c>
      <c r="U668" s="306" t="s">
        <v>1906</v>
      </c>
      <c r="V668" s="313" t="s">
        <v>308</v>
      </c>
      <c r="W668" s="314">
        <v>10</v>
      </c>
      <c r="X668" s="306" t="s">
        <v>2074</v>
      </c>
      <c r="Y668" s="313">
        <v>43103</v>
      </c>
      <c r="Z668" s="315">
        <v>66950000</v>
      </c>
      <c r="AA668" s="316" t="s">
        <v>63</v>
      </c>
      <c r="AB668" s="317">
        <v>332</v>
      </c>
      <c r="AC668" s="313">
        <v>43110</v>
      </c>
      <c r="AD668" s="312">
        <v>66950000</v>
      </c>
      <c r="AE668" s="318">
        <f t="shared" si="77"/>
        <v>0</v>
      </c>
      <c r="AF668" s="317">
        <v>289</v>
      </c>
      <c r="AG668" s="313">
        <v>43122</v>
      </c>
      <c r="AH668" s="312">
        <v>66950000</v>
      </c>
      <c r="AI668" s="306" t="s">
        <v>2075</v>
      </c>
      <c r="AJ668" s="306">
        <v>258</v>
      </c>
      <c r="AK668" s="318">
        <f t="shared" si="80"/>
        <v>0</v>
      </c>
      <c r="AL668" s="312">
        <f t="shared" si="81"/>
        <v>15175333</v>
      </c>
      <c r="AM668" s="312">
        <f t="shared" si="78"/>
        <v>51774667</v>
      </c>
      <c r="AN668" s="306" t="s">
        <v>1863</v>
      </c>
      <c r="AO668" s="312">
        <f t="shared" si="79"/>
        <v>0</v>
      </c>
      <c r="AP668" s="306"/>
      <c r="AQ668" s="306"/>
      <c r="AR668" s="306"/>
      <c r="AS668" s="306"/>
      <c r="AT668" s="306"/>
    </row>
    <row r="669" spans="1:46" ht="76.5" x14ac:dyDescent="0.25">
      <c r="A669" s="306">
        <v>74</v>
      </c>
      <c r="B669" s="306" t="str">
        <f t="shared" si="76"/>
        <v>3075-74</v>
      </c>
      <c r="C669" s="307" t="s">
        <v>1852</v>
      </c>
      <c r="D669" s="308" t="s">
        <v>1853</v>
      </c>
      <c r="E669" s="308" t="s">
        <v>1854</v>
      </c>
      <c r="F669" s="307" t="s">
        <v>1907</v>
      </c>
      <c r="G669" s="327" t="s">
        <v>1908</v>
      </c>
      <c r="H669" s="310" t="s">
        <v>1909</v>
      </c>
      <c r="I669" s="308" t="s">
        <v>1858</v>
      </c>
      <c r="J669" s="308" t="s">
        <v>1859</v>
      </c>
      <c r="K669" s="308">
        <v>801116</v>
      </c>
      <c r="L669" s="306" t="s">
        <v>1860</v>
      </c>
      <c r="M669" s="306" t="s">
        <v>59</v>
      </c>
      <c r="N669" s="306" t="s">
        <v>60</v>
      </c>
      <c r="O669" s="308" t="s">
        <v>1910</v>
      </c>
      <c r="P669" s="308" t="s">
        <v>2076</v>
      </c>
      <c r="Q669" s="315">
        <v>3553500</v>
      </c>
      <c r="R669" s="306">
        <v>1</v>
      </c>
      <c r="S669" s="312">
        <v>28428000</v>
      </c>
      <c r="T669" s="306" t="s">
        <v>900</v>
      </c>
      <c r="U669" s="306" t="s">
        <v>1906</v>
      </c>
      <c r="V669" s="313" t="s">
        <v>308</v>
      </c>
      <c r="W669" s="314">
        <v>8</v>
      </c>
      <c r="X669" s="306" t="s">
        <v>2077</v>
      </c>
      <c r="Y669" s="313">
        <v>43102</v>
      </c>
      <c r="Z669" s="315">
        <v>28428000</v>
      </c>
      <c r="AA669" s="316" t="s">
        <v>63</v>
      </c>
      <c r="AB669" s="317">
        <v>217</v>
      </c>
      <c r="AC669" s="313">
        <v>43105</v>
      </c>
      <c r="AD669" s="312">
        <v>28428000</v>
      </c>
      <c r="AE669" s="318">
        <f t="shared" si="77"/>
        <v>0</v>
      </c>
      <c r="AF669" s="317">
        <v>421</v>
      </c>
      <c r="AG669" s="313">
        <v>43124</v>
      </c>
      <c r="AH669" s="312">
        <v>28428000</v>
      </c>
      <c r="AI669" s="306" t="s">
        <v>2078</v>
      </c>
      <c r="AJ669" s="306">
        <v>370</v>
      </c>
      <c r="AK669" s="318">
        <f t="shared" si="80"/>
        <v>0</v>
      </c>
      <c r="AL669" s="312">
        <f t="shared" si="81"/>
        <v>7817700</v>
      </c>
      <c r="AM669" s="312">
        <f t="shared" si="78"/>
        <v>20610300</v>
      </c>
      <c r="AN669" s="306" t="s">
        <v>1863</v>
      </c>
      <c r="AO669" s="312">
        <f t="shared" si="79"/>
        <v>0</v>
      </c>
      <c r="AP669" s="306"/>
      <c r="AQ669" s="306"/>
      <c r="AR669" s="306"/>
      <c r="AS669" s="306"/>
      <c r="AT669" s="306"/>
    </row>
    <row r="670" spans="1:46" ht="76.5" x14ac:dyDescent="0.25">
      <c r="A670" s="306">
        <v>75</v>
      </c>
      <c r="B670" s="306" t="str">
        <f t="shared" si="76"/>
        <v>3075-75</v>
      </c>
      <c r="C670" s="307" t="s">
        <v>1852</v>
      </c>
      <c r="D670" s="308" t="s">
        <v>1853</v>
      </c>
      <c r="E670" s="308" t="s">
        <v>1854</v>
      </c>
      <c r="F670" s="307" t="s">
        <v>1907</v>
      </c>
      <c r="G670" s="327" t="s">
        <v>1908</v>
      </c>
      <c r="H670" s="310" t="s">
        <v>1909</v>
      </c>
      <c r="I670" s="308" t="s">
        <v>1858</v>
      </c>
      <c r="J670" s="308" t="s">
        <v>1859</v>
      </c>
      <c r="K670" s="308">
        <v>801116</v>
      </c>
      <c r="L670" s="306" t="s">
        <v>1860</v>
      </c>
      <c r="M670" s="306" t="s">
        <v>59</v>
      </c>
      <c r="N670" s="306" t="s">
        <v>60</v>
      </c>
      <c r="O670" s="308" t="s">
        <v>1910</v>
      </c>
      <c r="P670" s="308" t="s">
        <v>2079</v>
      </c>
      <c r="Q670" s="315">
        <v>3553500</v>
      </c>
      <c r="R670" s="306">
        <v>4</v>
      </c>
      <c r="S670" s="312">
        <v>17767500</v>
      </c>
      <c r="T670" s="306" t="s">
        <v>900</v>
      </c>
      <c r="U670" s="306" t="s">
        <v>1906</v>
      </c>
      <c r="V670" s="313" t="s">
        <v>308</v>
      </c>
      <c r="W670" s="314">
        <v>9.5</v>
      </c>
      <c r="X670" s="306" t="s">
        <v>2080</v>
      </c>
      <c r="Y670" s="313">
        <v>43111</v>
      </c>
      <c r="Z670" s="315">
        <v>17767500</v>
      </c>
      <c r="AA670" s="316" t="s">
        <v>2081</v>
      </c>
      <c r="AB670" s="317">
        <v>445</v>
      </c>
      <c r="AC670" s="313">
        <v>43111</v>
      </c>
      <c r="AD670" s="312">
        <v>17767500</v>
      </c>
      <c r="AE670" s="318">
        <f t="shared" si="77"/>
        <v>0</v>
      </c>
      <c r="AF670" s="317">
        <v>400</v>
      </c>
      <c r="AG670" s="313">
        <v>43124</v>
      </c>
      <c r="AH670" s="312">
        <v>17767500</v>
      </c>
      <c r="AI670" s="306" t="s">
        <v>2082</v>
      </c>
      <c r="AJ670" s="306">
        <v>321</v>
      </c>
      <c r="AK670" s="318">
        <f t="shared" si="80"/>
        <v>0</v>
      </c>
      <c r="AL670" s="312">
        <f t="shared" si="81"/>
        <v>7936150</v>
      </c>
      <c r="AM670" s="312">
        <f t="shared" si="78"/>
        <v>9831350</v>
      </c>
      <c r="AN670" s="306" t="s">
        <v>1863</v>
      </c>
      <c r="AO670" s="312">
        <f t="shared" si="79"/>
        <v>0</v>
      </c>
      <c r="AP670" s="306"/>
      <c r="AQ670" s="306"/>
      <c r="AR670" s="306"/>
      <c r="AS670" s="306"/>
      <c r="AT670" s="306"/>
    </row>
    <row r="671" spans="1:46" ht="76.5" x14ac:dyDescent="0.25">
      <c r="A671" s="306">
        <v>76</v>
      </c>
      <c r="B671" s="306" t="str">
        <f t="shared" si="76"/>
        <v>3075-76</v>
      </c>
      <c r="C671" s="307" t="s">
        <v>1852</v>
      </c>
      <c r="D671" s="308" t="s">
        <v>1853</v>
      </c>
      <c r="E671" s="308" t="s">
        <v>1854</v>
      </c>
      <c r="F671" s="307" t="s">
        <v>1907</v>
      </c>
      <c r="G671" s="327" t="s">
        <v>1908</v>
      </c>
      <c r="H671" s="310" t="s">
        <v>1909</v>
      </c>
      <c r="I671" s="308" t="s">
        <v>1858</v>
      </c>
      <c r="J671" s="308" t="s">
        <v>1859</v>
      </c>
      <c r="K671" s="308">
        <v>801116</v>
      </c>
      <c r="L671" s="306" t="s">
        <v>1860</v>
      </c>
      <c r="M671" s="306" t="s">
        <v>59</v>
      </c>
      <c r="N671" s="306" t="s">
        <v>60</v>
      </c>
      <c r="O671" s="308" t="s">
        <v>1910</v>
      </c>
      <c r="P671" s="308" t="s">
        <v>1997</v>
      </c>
      <c r="Q671" s="315">
        <v>4532000</v>
      </c>
      <c r="R671" s="306">
        <v>1</v>
      </c>
      <c r="S671" s="312">
        <v>49852000</v>
      </c>
      <c r="T671" s="306" t="s">
        <v>900</v>
      </c>
      <c r="U671" s="306" t="s">
        <v>1906</v>
      </c>
      <c r="V671" s="313" t="s">
        <v>308</v>
      </c>
      <c r="W671" s="314">
        <v>11</v>
      </c>
      <c r="X671" s="306" t="s">
        <v>2083</v>
      </c>
      <c r="Y671" s="313">
        <v>43103</v>
      </c>
      <c r="Z671" s="315">
        <v>49852000</v>
      </c>
      <c r="AA671" s="316" t="s">
        <v>63</v>
      </c>
      <c r="AB671" s="317">
        <v>337</v>
      </c>
      <c r="AC671" s="313">
        <v>43110</v>
      </c>
      <c r="AD671" s="312">
        <v>49852000</v>
      </c>
      <c r="AE671" s="318">
        <f t="shared" si="77"/>
        <v>0</v>
      </c>
      <c r="AF671" s="317">
        <v>35</v>
      </c>
      <c r="AG671" s="313">
        <v>43116</v>
      </c>
      <c r="AH671" s="312">
        <v>49852000</v>
      </c>
      <c r="AI671" s="306" t="s">
        <v>2084</v>
      </c>
      <c r="AJ671" s="306">
        <v>34</v>
      </c>
      <c r="AK671" s="318">
        <f t="shared" si="80"/>
        <v>0</v>
      </c>
      <c r="AL671" s="312">
        <f t="shared" si="81"/>
        <v>11330000</v>
      </c>
      <c r="AM671" s="312">
        <f t="shared" si="78"/>
        <v>38522000</v>
      </c>
      <c r="AN671" s="306" t="s">
        <v>1863</v>
      </c>
      <c r="AO671" s="312">
        <f t="shared" si="79"/>
        <v>0</v>
      </c>
      <c r="AP671" s="306"/>
      <c r="AQ671" s="306"/>
      <c r="AR671" s="306"/>
      <c r="AS671" s="306"/>
      <c r="AT671" s="306"/>
    </row>
    <row r="672" spans="1:46" ht="89.25" x14ac:dyDescent="0.25">
      <c r="A672" s="306">
        <v>77</v>
      </c>
      <c r="B672" s="306" t="str">
        <f t="shared" si="76"/>
        <v>3075-77</v>
      </c>
      <c r="C672" s="307" t="s">
        <v>1852</v>
      </c>
      <c r="D672" s="308" t="s">
        <v>1853</v>
      </c>
      <c r="E672" s="308" t="s">
        <v>1854</v>
      </c>
      <c r="F672" s="307" t="s">
        <v>1907</v>
      </c>
      <c r="G672" s="327" t="s">
        <v>1908</v>
      </c>
      <c r="H672" s="310" t="s">
        <v>1909</v>
      </c>
      <c r="I672" s="308" t="s">
        <v>1858</v>
      </c>
      <c r="J672" s="308" t="s">
        <v>1859</v>
      </c>
      <c r="K672" s="308">
        <v>801116</v>
      </c>
      <c r="L672" s="306" t="s">
        <v>1860</v>
      </c>
      <c r="M672" s="306" t="s">
        <v>59</v>
      </c>
      <c r="N672" s="306" t="s">
        <v>60</v>
      </c>
      <c r="O672" s="308" t="s">
        <v>1910</v>
      </c>
      <c r="P672" s="308" t="s">
        <v>2062</v>
      </c>
      <c r="Q672" s="315">
        <v>4532000</v>
      </c>
      <c r="R672" s="306">
        <v>1</v>
      </c>
      <c r="S672" s="312">
        <v>45320000</v>
      </c>
      <c r="T672" s="306" t="s">
        <v>900</v>
      </c>
      <c r="U672" s="306" t="s">
        <v>1906</v>
      </c>
      <c r="V672" s="313" t="s">
        <v>308</v>
      </c>
      <c r="W672" s="314">
        <v>10</v>
      </c>
      <c r="X672" s="306" t="s">
        <v>2085</v>
      </c>
      <c r="Y672" s="313">
        <v>43103</v>
      </c>
      <c r="Z672" s="315">
        <v>45320000</v>
      </c>
      <c r="AA672" s="316" t="s">
        <v>63</v>
      </c>
      <c r="AB672" s="317">
        <v>310</v>
      </c>
      <c r="AC672" s="313">
        <v>43110</v>
      </c>
      <c r="AD672" s="312">
        <v>45320000</v>
      </c>
      <c r="AE672" s="318">
        <f t="shared" si="77"/>
        <v>0</v>
      </c>
      <c r="AF672" s="317">
        <v>205</v>
      </c>
      <c r="AG672" s="313">
        <v>43118</v>
      </c>
      <c r="AH672" s="312">
        <v>45320000</v>
      </c>
      <c r="AI672" s="306" t="s">
        <v>2086</v>
      </c>
      <c r="AJ672" s="306">
        <v>163</v>
      </c>
      <c r="AK672" s="318">
        <f t="shared" si="80"/>
        <v>0</v>
      </c>
      <c r="AL672" s="312">
        <f t="shared" si="81"/>
        <v>10876800</v>
      </c>
      <c r="AM672" s="312">
        <f t="shared" si="78"/>
        <v>34443200</v>
      </c>
      <c r="AN672" s="306" t="s">
        <v>1863</v>
      </c>
      <c r="AO672" s="312">
        <f t="shared" si="79"/>
        <v>0</v>
      </c>
      <c r="AP672" s="306"/>
      <c r="AQ672" s="306"/>
      <c r="AR672" s="306"/>
      <c r="AS672" s="306"/>
      <c r="AT672" s="306"/>
    </row>
    <row r="673" spans="1:46" ht="76.5" x14ac:dyDescent="0.25">
      <c r="A673" s="306">
        <v>78</v>
      </c>
      <c r="B673" s="306" t="str">
        <f t="shared" si="76"/>
        <v>3075-78</v>
      </c>
      <c r="C673" s="307" t="s">
        <v>1852</v>
      </c>
      <c r="D673" s="308" t="s">
        <v>1853</v>
      </c>
      <c r="E673" s="308" t="s">
        <v>1854</v>
      </c>
      <c r="F673" s="307" t="s">
        <v>1907</v>
      </c>
      <c r="G673" s="327" t="s">
        <v>1908</v>
      </c>
      <c r="H673" s="310" t="s">
        <v>1909</v>
      </c>
      <c r="I673" s="308" t="s">
        <v>1858</v>
      </c>
      <c r="J673" s="308" t="s">
        <v>1859</v>
      </c>
      <c r="K673" s="308">
        <v>801116</v>
      </c>
      <c r="L673" s="306" t="s">
        <v>1860</v>
      </c>
      <c r="M673" s="306" t="s">
        <v>59</v>
      </c>
      <c r="N673" s="306" t="s">
        <v>60</v>
      </c>
      <c r="O673" s="308" t="s">
        <v>1910</v>
      </c>
      <c r="P673" s="308" t="s">
        <v>1982</v>
      </c>
      <c r="Q673" s="315">
        <v>5036700</v>
      </c>
      <c r="R673" s="306">
        <v>1</v>
      </c>
      <c r="S673" s="312">
        <v>45330300</v>
      </c>
      <c r="T673" s="306" t="s">
        <v>900</v>
      </c>
      <c r="U673" s="306" t="s">
        <v>1906</v>
      </c>
      <c r="V673" s="313" t="s">
        <v>308</v>
      </c>
      <c r="W673" s="314">
        <v>9</v>
      </c>
      <c r="X673" s="306" t="s">
        <v>2087</v>
      </c>
      <c r="Y673" s="313">
        <v>43103</v>
      </c>
      <c r="Z673" s="315">
        <v>45330300</v>
      </c>
      <c r="AA673" s="316" t="s">
        <v>63</v>
      </c>
      <c r="AB673" s="317">
        <v>328</v>
      </c>
      <c r="AC673" s="313">
        <v>43110</v>
      </c>
      <c r="AD673" s="312">
        <v>45330300</v>
      </c>
      <c r="AE673" s="318">
        <f t="shared" si="77"/>
        <v>0</v>
      </c>
      <c r="AF673" s="317">
        <v>227</v>
      </c>
      <c r="AG673" s="313">
        <v>43118</v>
      </c>
      <c r="AH673" s="312">
        <v>45330300</v>
      </c>
      <c r="AI673" s="306" t="s">
        <v>2088</v>
      </c>
      <c r="AJ673" s="306">
        <v>194</v>
      </c>
      <c r="AK673" s="318">
        <f t="shared" si="80"/>
        <v>0</v>
      </c>
      <c r="AL673" s="312">
        <f t="shared" si="81"/>
        <v>12088080</v>
      </c>
      <c r="AM673" s="312">
        <f t="shared" si="78"/>
        <v>33242220</v>
      </c>
      <c r="AN673" s="306" t="s">
        <v>1863</v>
      </c>
      <c r="AO673" s="312">
        <f t="shared" si="79"/>
        <v>0</v>
      </c>
      <c r="AP673" s="306"/>
      <c r="AQ673" s="306"/>
      <c r="AR673" s="306"/>
      <c r="AS673" s="306"/>
      <c r="AT673" s="306"/>
    </row>
    <row r="674" spans="1:46" ht="76.5" x14ac:dyDescent="0.25">
      <c r="A674" s="306">
        <v>79</v>
      </c>
      <c r="B674" s="306" t="str">
        <f t="shared" si="76"/>
        <v>3075-79</v>
      </c>
      <c r="C674" s="307" t="s">
        <v>1852</v>
      </c>
      <c r="D674" s="308" t="s">
        <v>1853</v>
      </c>
      <c r="E674" s="308" t="s">
        <v>1854</v>
      </c>
      <c r="F674" s="307" t="s">
        <v>1907</v>
      </c>
      <c r="G674" s="327" t="s">
        <v>1908</v>
      </c>
      <c r="H674" s="310" t="s">
        <v>1909</v>
      </c>
      <c r="I674" s="308" t="s">
        <v>1858</v>
      </c>
      <c r="J674" s="308" t="s">
        <v>1859</v>
      </c>
      <c r="K674" s="308">
        <v>801116</v>
      </c>
      <c r="L674" s="306" t="s">
        <v>1860</v>
      </c>
      <c r="M674" s="306" t="s">
        <v>59</v>
      </c>
      <c r="N674" s="306" t="s">
        <v>60</v>
      </c>
      <c r="O674" s="308" t="s">
        <v>1910</v>
      </c>
      <c r="P674" s="308" t="s">
        <v>2089</v>
      </c>
      <c r="Q674" s="315">
        <v>5253000</v>
      </c>
      <c r="R674" s="306">
        <v>1</v>
      </c>
      <c r="S674" s="312">
        <v>36771000</v>
      </c>
      <c r="T674" s="306" t="s">
        <v>900</v>
      </c>
      <c r="U674" s="306" t="s">
        <v>1906</v>
      </c>
      <c r="V674" s="313" t="s">
        <v>308</v>
      </c>
      <c r="W674" s="314">
        <v>7</v>
      </c>
      <c r="X674" s="306" t="s">
        <v>2090</v>
      </c>
      <c r="Y674" s="313">
        <v>43103</v>
      </c>
      <c r="Z674" s="315">
        <v>36771000</v>
      </c>
      <c r="AA674" s="316" t="s">
        <v>63</v>
      </c>
      <c r="AB674" s="317">
        <v>343</v>
      </c>
      <c r="AC674" s="313">
        <v>43110</v>
      </c>
      <c r="AD674" s="312">
        <v>36771000</v>
      </c>
      <c r="AE674" s="318">
        <f t="shared" si="77"/>
        <v>0</v>
      </c>
      <c r="AF674" s="317">
        <v>303</v>
      </c>
      <c r="AG674" s="313">
        <v>43122</v>
      </c>
      <c r="AH674" s="312">
        <v>36771000</v>
      </c>
      <c r="AI674" s="306" t="s">
        <v>2091</v>
      </c>
      <c r="AJ674" s="306">
        <v>269</v>
      </c>
      <c r="AK674" s="318">
        <f t="shared" si="80"/>
        <v>0</v>
      </c>
      <c r="AL674" s="312">
        <f t="shared" si="81"/>
        <v>11906800</v>
      </c>
      <c r="AM674" s="312">
        <f t="shared" si="78"/>
        <v>24864200</v>
      </c>
      <c r="AN674" s="306" t="s">
        <v>1863</v>
      </c>
      <c r="AO674" s="312">
        <f t="shared" si="79"/>
        <v>0</v>
      </c>
      <c r="AP674" s="306"/>
      <c r="AQ674" s="306"/>
      <c r="AR674" s="306"/>
      <c r="AS674" s="306"/>
      <c r="AT674" s="306"/>
    </row>
    <row r="675" spans="1:46" ht="76.5" x14ac:dyDescent="0.25">
      <c r="A675" s="306">
        <v>80</v>
      </c>
      <c r="B675" s="306" t="str">
        <f t="shared" si="76"/>
        <v>3075-80</v>
      </c>
      <c r="C675" s="307" t="s">
        <v>1852</v>
      </c>
      <c r="D675" s="308" t="s">
        <v>1853</v>
      </c>
      <c r="E675" s="308" t="s">
        <v>2000</v>
      </c>
      <c r="F675" s="307" t="s">
        <v>1907</v>
      </c>
      <c r="G675" s="327" t="s">
        <v>1908</v>
      </c>
      <c r="H675" s="310" t="s">
        <v>1909</v>
      </c>
      <c r="I675" s="308" t="s">
        <v>1858</v>
      </c>
      <c r="J675" s="308" t="s">
        <v>1859</v>
      </c>
      <c r="K675" s="308">
        <v>801116</v>
      </c>
      <c r="L675" s="306" t="s">
        <v>1860</v>
      </c>
      <c r="M675" s="306" t="s">
        <v>59</v>
      </c>
      <c r="N675" s="306" t="s">
        <v>60</v>
      </c>
      <c r="O675" s="308" t="s">
        <v>1910</v>
      </c>
      <c r="P675" s="308" t="s">
        <v>1982</v>
      </c>
      <c r="Q675" s="315">
        <v>5253000</v>
      </c>
      <c r="R675" s="306">
        <v>1</v>
      </c>
      <c r="S675" s="312">
        <v>57783000</v>
      </c>
      <c r="T675" s="306" t="s">
        <v>900</v>
      </c>
      <c r="U675" s="306" t="s">
        <v>1906</v>
      </c>
      <c r="V675" s="313" t="s">
        <v>308</v>
      </c>
      <c r="W675" s="314">
        <v>11</v>
      </c>
      <c r="X675" s="306" t="s">
        <v>2092</v>
      </c>
      <c r="Y675" s="313">
        <v>43103</v>
      </c>
      <c r="Z675" s="315">
        <v>57783000</v>
      </c>
      <c r="AA675" s="316" t="s">
        <v>63</v>
      </c>
      <c r="AB675" s="317">
        <v>335</v>
      </c>
      <c r="AC675" s="313">
        <v>43110</v>
      </c>
      <c r="AD675" s="312">
        <v>57783000</v>
      </c>
      <c r="AE675" s="318">
        <f t="shared" si="77"/>
        <v>0</v>
      </c>
      <c r="AF675" s="317">
        <v>187</v>
      </c>
      <c r="AG675" s="313">
        <v>43118</v>
      </c>
      <c r="AH675" s="312">
        <v>57783000</v>
      </c>
      <c r="AI675" s="306" t="s">
        <v>2093</v>
      </c>
      <c r="AJ675" s="306">
        <v>156</v>
      </c>
      <c r="AK675" s="318">
        <f t="shared" si="80"/>
        <v>0</v>
      </c>
      <c r="AL675" s="312">
        <f t="shared" si="81"/>
        <v>12782300</v>
      </c>
      <c r="AM675" s="312">
        <f t="shared" si="78"/>
        <v>45000700</v>
      </c>
      <c r="AN675" s="306" t="s">
        <v>1863</v>
      </c>
      <c r="AO675" s="312">
        <f t="shared" si="79"/>
        <v>0</v>
      </c>
      <c r="AP675" s="306"/>
      <c r="AQ675" s="306"/>
      <c r="AR675" s="306"/>
      <c r="AS675" s="306"/>
      <c r="AT675" s="306"/>
    </row>
    <row r="676" spans="1:46" ht="89.25" x14ac:dyDescent="0.25">
      <c r="A676" s="306">
        <v>81</v>
      </c>
      <c r="B676" s="306" t="str">
        <f t="shared" si="76"/>
        <v>3075-81</v>
      </c>
      <c r="C676" s="307" t="s">
        <v>1852</v>
      </c>
      <c r="D676" s="308" t="s">
        <v>1853</v>
      </c>
      <c r="E676" s="308" t="s">
        <v>1854</v>
      </c>
      <c r="F676" s="307" t="s">
        <v>1907</v>
      </c>
      <c r="G676" s="327" t="s">
        <v>1908</v>
      </c>
      <c r="H676" s="310" t="s">
        <v>1909</v>
      </c>
      <c r="I676" s="308" t="s">
        <v>1858</v>
      </c>
      <c r="J676" s="308" t="s">
        <v>1859</v>
      </c>
      <c r="K676" s="308">
        <v>801116</v>
      </c>
      <c r="L676" s="306" t="s">
        <v>1860</v>
      </c>
      <c r="M676" s="306" t="s">
        <v>59</v>
      </c>
      <c r="N676" s="306" t="s">
        <v>60</v>
      </c>
      <c r="O676" s="308" t="s">
        <v>1910</v>
      </c>
      <c r="P676" s="308" t="s">
        <v>2094</v>
      </c>
      <c r="Q676" s="315">
        <v>6180000</v>
      </c>
      <c r="R676" s="306">
        <v>1</v>
      </c>
      <c r="S676" s="312">
        <v>61800000</v>
      </c>
      <c r="T676" s="306" t="s">
        <v>900</v>
      </c>
      <c r="U676" s="306" t="s">
        <v>1906</v>
      </c>
      <c r="V676" s="313" t="s">
        <v>308</v>
      </c>
      <c r="W676" s="314">
        <v>10</v>
      </c>
      <c r="X676" s="306" t="s">
        <v>2095</v>
      </c>
      <c r="Y676" s="313">
        <v>43103</v>
      </c>
      <c r="Z676" s="315">
        <v>61800000</v>
      </c>
      <c r="AA676" s="316" t="s">
        <v>63</v>
      </c>
      <c r="AB676" s="317">
        <v>327</v>
      </c>
      <c r="AC676" s="313">
        <v>43110</v>
      </c>
      <c r="AD676" s="312">
        <v>61800000</v>
      </c>
      <c r="AE676" s="318">
        <f t="shared" si="77"/>
        <v>0</v>
      </c>
      <c r="AF676" s="317">
        <v>369</v>
      </c>
      <c r="AG676" s="313">
        <v>43124</v>
      </c>
      <c r="AH676" s="312">
        <v>61800000</v>
      </c>
      <c r="AI676" s="306" t="s">
        <v>2096</v>
      </c>
      <c r="AJ676" s="306">
        <v>324</v>
      </c>
      <c r="AK676" s="318">
        <f t="shared" si="80"/>
        <v>0</v>
      </c>
      <c r="AL676" s="312">
        <f t="shared" si="81"/>
        <v>13802000</v>
      </c>
      <c r="AM676" s="312">
        <f t="shared" si="78"/>
        <v>47998000</v>
      </c>
      <c r="AN676" s="306" t="s">
        <v>1863</v>
      </c>
      <c r="AO676" s="312">
        <f t="shared" si="79"/>
        <v>0</v>
      </c>
      <c r="AP676" s="306"/>
      <c r="AQ676" s="306"/>
      <c r="AR676" s="306"/>
      <c r="AS676" s="306"/>
      <c r="AT676" s="306"/>
    </row>
    <row r="677" spans="1:46" ht="76.5" x14ac:dyDescent="0.25">
      <c r="A677" s="306">
        <v>82</v>
      </c>
      <c r="B677" s="306" t="str">
        <f t="shared" si="76"/>
        <v>3075-82</v>
      </c>
      <c r="C677" s="307" t="s">
        <v>1852</v>
      </c>
      <c r="D677" s="308" t="s">
        <v>1853</v>
      </c>
      <c r="E677" s="308" t="s">
        <v>1854</v>
      </c>
      <c r="F677" s="307" t="s">
        <v>1907</v>
      </c>
      <c r="G677" s="327" t="s">
        <v>1908</v>
      </c>
      <c r="H677" s="310" t="s">
        <v>1909</v>
      </c>
      <c r="I677" s="308" t="s">
        <v>1858</v>
      </c>
      <c r="J677" s="308" t="s">
        <v>1859</v>
      </c>
      <c r="K677" s="308">
        <v>801116</v>
      </c>
      <c r="L677" s="306" t="s">
        <v>1860</v>
      </c>
      <c r="M677" s="306" t="s">
        <v>59</v>
      </c>
      <c r="N677" s="306" t="s">
        <v>60</v>
      </c>
      <c r="O677" s="308" t="s">
        <v>1910</v>
      </c>
      <c r="P677" s="308" t="s">
        <v>2097</v>
      </c>
      <c r="Q677" s="315">
        <v>6180000</v>
      </c>
      <c r="R677" s="306">
        <v>1</v>
      </c>
      <c r="S677" s="312">
        <v>61800000</v>
      </c>
      <c r="T677" s="306" t="s">
        <v>900</v>
      </c>
      <c r="U677" s="306" t="s">
        <v>1906</v>
      </c>
      <c r="V677" s="313" t="s">
        <v>308</v>
      </c>
      <c r="W677" s="314">
        <v>10</v>
      </c>
      <c r="X677" s="306" t="s">
        <v>2098</v>
      </c>
      <c r="Y677" s="313">
        <v>43103</v>
      </c>
      <c r="Z677" s="315">
        <v>61800000</v>
      </c>
      <c r="AA677" s="316" t="s">
        <v>63</v>
      </c>
      <c r="AB677" s="317">
        <v>312</v>
      </c>
      <c r="AC677" s="313">
        <v>43110</v>
      </c>
      <c r="AD677" s="312">
        <v>61800000</v>
      </c>
      <c r="AE677" s="318">
        <f t="shared" si="77"/>
        <v>0</v>
      </c>
      <c r="AF677" s="317">
        <v>295</v>
      </c>
      <c r="AG677" s="313">
        <v>43122</v>
      </c>
      <c r="AH677" s="312">
        <v>61800000</v>
      </c>
      <c r="AI677" s="306" t="s">
        <v>2099</v>
      </c>
      <c r="AJ677" s="306">
        <v>263</v>
      </c>
      <c r="AK677" s="318">
        <f t="shared" si="80"/>
        <v>0</v>
      </c>
      <c r="AL677" s="312">
        <f t="shared" si="81"/>
        <v>14214000</v>
      </c>
      <c r="AM677" s="312">
        <f t="shared" si="78"/>
        <v>47586000</v>
      </c>
      <c r="AN677" s="306" t="s">
        <v>1863</v>
      </c>
      <c r="AO677" s="312">
        <f t="shared" si="79"/>
        <v>0</v>
      </c>
      <c r="AP677" s="306"/>
      <c r="AQ677" s="306"/>
      <c r="AR677" s="306"/>
      <c r="AS677" s="306"/>
      <c r="AT677" s="306"/>
    </row>
    <row r="678" spans="1:46" ht="89.25" x14ac:dyDescent="0.25">
      <c r="A678" s="306">
        <v>83</v>
      </c>
      <c r="B678" s="306" t="str">
        <f t="shared" si="76"/>
        <v>3075-83</v>
      </c>
      <c r="C678" s="307" t="s">
        <v>1852</v>
      </c>
      <c r="D678" s="308" t="s">
        <v>1853</v>
      </c>
      <c r="E678" s="308" t="s">
        <v>1854</v>
      </c>
      <c r="F678" s="307" t="s">
        <v>1907</v>
      </c>
      <c r="G678" s="327" t="s">
        <v>1908</v>
      </c>
      <c r="H678" s="310" t="s">
        <v>1909</v>
      </c>
      <c r="I678" s="308" t="s">
        <v>1858</v>
      </c>
      <c r="J678" s="308" t="s">
        <v>1859</v>
      </c>
      <c r="K678" s="308">
        <v>801116</v>
      </c>
      <c r="L678" s="306" t="s">
        <v>1860</v>
      </c>
      <c r="M678" s="306" t="s">
        <v>59</v>
      </c>
      <c r="N678" s="306" t="s">
        <v>60</v>
      </c>
      <c r="O678" s="308" t="s">
        <v>1910</v>
      </c>
      <c r="P678" s="308" t="s">
        <v>2100</v>
      </c>
      <c r="Q678" s="315">
        <v>6180000</v>
      </c>
      <c r="R678" s="306">
        <v>1</v>
      </c>
      <c r="S678" s="312">
        <v>67980000</v>
      </c>
      <c r="T678" s="306" t="s">
        <v>900</v>
      </c>
      <c r="U678" s="306" t="s">
        <v>1906</v>
      </c>
      <c r="V678" s="313" t="s">
        <v>308</v>
      </c>
      <c r="W678" s="314">
        <v>11</v>
      </c>
      <c r="X678" s="306" t="s">
        <v>2101</v>
      </c>
      <c r="Y678" s="313">
        <v>43103</v>
      </c>
      <c r="Z678" s="315">
        <v>67980000</v>
      </c>
      <c r="AA678" s="316" t="s">
        <v>63</v>
      </c>
      <c r="AB678" s="317">
        <v>357</v>
      </c>
      <c r="AC678" s="313">
        <v>43110</v>
      </c>
      <c r="AD678" s="312">
        <v>67980000</v>
      </c>
      <c r="AE678" s="318">
        <f t="shared" si="77"/>
        <v>0</v>
      </c>
      <c r="AF678" s="317">
        <v>87</v>
      </c>
      <c r="AG678" s="313">
        <v>43116</v>
      </c>
      <c r="AH678" s="312">
        <v>67980000</v>
      </c>
      <c r="AI678" s="306" t="s">
        <v>2102</v>
      </c>
      <c r="AJ678" s="306">
        <v>75</v>
      </c>
      <c r="AK678" s="318">
        <f t="shared" si="80"/>
        <v>0</v>
      </c>
      <c r="AL678" s="312">
        <f t="shared" si="81"/>
        <v>15244000</v>
      </c>
      <c r="AM678" s="312">
        <f t="shared" si="78"/>
        <v>52736000</v>
      </c>
      <c r="AN678" s="306" t="s">
        <v>1863</v>
      </c>
      <c r="AO678" s="312">
        <f t="shared" si="79"/>
        <v>0</v>
      </c>
      <c r="AP678" s="306"/>
      <c r="AQ678" s="306"/>
      <c r="AR678" s="306"/>
      <c r="AS678" s="306"/>
      <c r="AT678" s="306"/>
    </row>
    <row r="679" spans="1:46" ht="76.5" x14ac:dyDescent="0.25">
      <c r="A679" s="306">
        <v>84</v>
      </c>
      <c r="B679" s="306" t="str">
        <f t="shared" si="76"/>
        <v>3075-84</v>
      </c>
      <c r="C679" s="307" t="s">
        <v>1852</v>
      </c>
      <c r="D679" s="308" t="s">
        <v>1853</v>
      </c>
      <c r="E679" s="308" t="s">
        <v>1854</v>
      </c>
      <c r="F679" s="307" t="s">
        <v>1907</v>
      </c>
      <c r="G679" s="327" t="s">
        <v>1908</v>
      </c>
      <c r="H679" s="310" t="s">
        <v>1909</v>
      </c>
      <c r="I679" s="308" t="s">
        <v>1858</v>
      </c>
      <c r="J679" s="308" t="s">
        <v>1859</v>
      </c>
      <c r="K679" s="308">
        <v>801116</v>
      </c>
      <c r="L679" s="306" t="s">
        <v>1860</v>
      </c>
      <c r="M679" s="306" t="s">
        <v>59</v>
      </c>
      <c r="N679" s="306" t="s">
        <v>60</v>
      </c>
      <c r="O679" s="308" t="s">
        <v>1910</v>
      </c>
      <c r="P679" s="308" t="s">
        <v>2004</v>
      </c>
      <c r="Q679" s="315">
        <v>8240000</v>
      </c>
      <c r="R679" s="306">
        <v>1</v>
      </c>
      <c r="S679" s="312">
        <v>90640000</v>
      </c>
      <c r="T679" s="306" t="s">
        <v>900</v>
      </c>
      <c r="U679" s="306" t="s">
        <v>1906</v>
      </c>
      <c r="V679" s="313" t="s">
        <v>308</v>
      </c>
      <c r="W679" s="314">
        <v>11</v>
      </c>
      <c r="X679" s="306" t="s">
        <v>2103</v>
      </c>
      <c r="Y679" s="313">
        <v>43103</v>
      </c>
      <c r="Z679" s="315">
        <v>90640000</v>
      </c>
      <c r="AA679" s="316" t="s">
        <v>63</v>
      </c>
      <c r="AB679" s="317">
        <v>236</v>
      </c>
      <c r="AC679" s="313">
        <v>43105</v>
      </c>
      <c r="AD679" s="312">
        <v>90640000</v>
      </c>
      <c r="AE679" s="318">
        <f t="shared" si="77"/>
        <v>0</v>
      </c>
      <c r="AF679" s="317">
        <v>130</v>
      </c>
      <c r="AG679" s="313">
        <v>43117</v>
      </c>
      <c r="AH679" s="312">
        <v>90640000</v>
      </c>
      <c r="AI679" s="306" t="s">
        <v>2104</v>
      </c>
      <c r="AJ679" s="306">
        <v>121</v>
      </c>
      <c r="AK679" s="318">
        <f t="shared" si="80"/>
        <v>0</v>
      </c>
      <c r="AL679" s="312">
        <f t="shared" si="81"/>
        <v>20050667</v>
      </c>
      <c r="AM679" s="312">
        <f t="shared" si="78"/>
        <v>70589333</v>
      </c>
      <c r="AN679" s="306" t="s">
        <v>1863</v>
      </c>
      <c r="AO679" s="312">
        <f t="shared" si="79"/>
        <v>0</v>
      </c>
      <c r="AP679" s="306"/>
      <c r="AQ679" s="306"/>
      <c r="AR679" s="306"/>
      <c r="AS679" s="306"/>
      <c r="AT679" s="306"/>
    </row>
    <row r="680" spans="1:46" ht="76.5" x14ac:dyDescent="0.25">
      <c r="A680" s="306">
        <v>85</v>
      </c>
      <c r="B680" s="306" t="str">
        <f t="shared" si="76"/>
        <v>3075-85</v>
      </c>
      <c r="C680" s="307" t="s">
        <v>1852</v>
      </c>
      <c r="D680" s="308" t="s">
        <v>1853</v>
      </c>
      <c r="E680" s="308" t="s">
        <v>1854</v>
      </c>
      <c r="F680" s="307" t="s">
        <v>1907</v>
      </c>
      <c r="G680" s="327" t="s">
        <v>1908</v>
      </c>
      <c r="H680" s="310" t="s">
        <v>1909</v>
      </c>
      <c r="I680" s="308" t="s">
        <v>1858</v>
      </c>
      <c r="J680" s="308" t="s">
        <v>1859</v>
      </c>
      <c r="K680" s="308">
        <v>801116</v>
      </c>
      <c r="L680" s="306" t="s">
        <v>1860</v>
      </c>
      <c r="M680" s="306" t="s">
        <v>59</v>
      </c>
      <c r="N680" s="306" t="s">
        <v>60</v>
      </c>
      <c r="O680" s="308" t="s">
        <v>1910</v>
      </c>
      <c r="P680" s="308" t="s">
        <v>1936</v>
      </c>
      <c r="Q680" s="315">
        <v>5665000</v>
      </c>
      <c r="R680" s="306">
        <v>1</v>
      </c>
      <c r="S680" s="312">
        <v>50985000</v>
      </c>
      <c r="T680" s="306" t="s">
        <v>900</v>
      </c>
      <c r="U680" s="306" t="s">
        <v>1906</v>
      </c>
      <c r="V680" s="313" t="s">
        <v>308</v>
      </c>
      <c r="W680" s="314">
        <v>9</v>
      </c>
      <c r="X680" s="306" t="s">
        <v>2105</v>
      </c>
      <c r="Y680" s="313">
        <v>43103</v>
      </c>
      <c r="Z680" s="315">
        <v>50985000</v>
      </c>
      <c r="AA680" s="316" t="s">
        <v>63</v>
      </c>
      <c r="AB680" s="317">
        <v>331</v>
      </c>
      <c r="AC680" s="313">
        <v>43110</v>
      </c>
      <c r="AD680" s="312">
        <v>50985000</v>
      </c>
      <c r="AE680" s="318">
        <f t="shared" si="77"/>
        <v>0</v>
      </c>
      <c r="AF680" s="317">
        <v>210</v>
      </c>
      <c r="AG680" s="313">
        <v>43118</v>
      </c>
      <c r="AH680" s="312">
        <v>50985000</v>
      </c>
      <c r="AI680" s="306" t="s">
        <v>2106</v>
      </c>
      <c r="AJ680" s="306">
        <v>170</v>
      </c>
      <c r="AK680" s="318">
        <f t="shared" si="80"/>
        <v>0</v>
      </c>
      <c r="AL680" s="312">
        <f t="shared" si="81"/>
        <v>13596000</v>
      </c>
      <c r="AM680" s="312">
        <f t="shared" si="78"/>
        <v>37389000</v>
      </c>
      <c r="AN680" s="306" t="s">
        <v>1863</v>
      </c>
      <c r="AO680" s="312">
        <f t="shared" si="79"/>
        <v>0</v>
      </c>
      <c r="AP680" s="306"/>
      <c r="AQ680" s="306"/>
      <c r="AR680" s="306"/>
      <c r="AS680" s="306"/>
      <c r="AT680" s="306"/>
    </row>
    <row r="681" spans="1:46" ht="76.5" x14ac:dyDescent="0.25">
      <c r="A681" s="306">
        <v>86</v>
      </c>
      <c r="B681" s="306" t="str">
        <f t="shared" si="76"/>
        <v>3075-86</v>
      </c>
      <c r="C681" s="307" t="s">
        <v>1852</v>
      </c>
      <c r="D681" s="308" t="s">
        <v>1853</v>
      </c>
      <c r="E681" s="308" t="s">
        <v>1854</v>
      </c>
      <c r="F681" s="307" t="s">
        <v>1907</v>
      </c>
      <c r="G681" s="327" t="s">
        <v>1908</v>
      </c>
      <c r="H681" s="310" t="s">
        <v>1909</v>
      </c>
      <c r="I681" s="308" t="s">
        <v>1858</v>
      </c>
      <c r="J681" s="308" t="s">
        <v>1859</v>
      </c>
      <c r="K681" s="308">
        <v>801116</v>
      </c>
      <c r="L681" s="306" t="s">
        <v>1860</v>
      </c>
      <c r="M681" s="306" t="s">
        <v>59</v>
      </c>
      <c r="N681" s="306" t="s">
        <v>60</v>
      </c>
      <c r="O681" s="308" t="s">
        <v>1910</v>
      </c>
      <c r="P681" s="308" t="s">
        <v>2107</v>
      </c>
      <c r="Q681" s="315">
        <v>5665000</v>
      </c>
      <c r="R681" s="306">
        <v>1</v>
      </c>
      <c r="S681" s="312">
        <v>56650000</v>
      </c>
      <c r="T681" s="306" t="s">
        <v>900</v>
      </c>
      <c r="U681" s="306" t="s">
        <v>1906</v>
      </c>
      <c r="V681" s="313" t="s">
        <v>308</v>
      </c>
      <c r="W681" s="314">
        <v>10</v>
      </c>
      <c r="X681" s="306" t="s">
        <v>2108</v>
      </c>
      <c r="Y681" s="313">
        <v>43103</v>
      </c>
      <c r="Z681" s="315">
        <v>56650000</v>
      </c>
      <c r="AA681" s="316" t="s">
        <v>63</v>
      </c>
      <c r="AB681" s="317">
        <v>353</v>
      </c>
      <c r="AC681" s="313">
        <v>43110</v>
      </c>
      <c r="AD681" s="312">
        <v>56650000</v>
      </c>
      <c r="AE681" s="318">
        <f t="shared" si="77"/>
        <v>0</v>
      </c>
      <c r="AF681" s="317">
        <v>396</v>
      </c>
      <c r="AG681" s="313">
        <v>43124</v>
      </c>
      <c r="AH681" s="312">
        <v>56650000</v>
      </c>
      <c r="AI681" s="306" t="s">
        <v>2109</v>
      </c>
      <c r="AJ681" s="306">
        <v>317</v>
      </c>
      <c r="AK681" s="318">
        <f t="shared" si="80"/>
        <v>0</v>
      </c>
      <c r="AL681" s="312">
        <f t="shared" si="81"/>
        <v>12651833</v>
      </c>
      <c r="AM681" s="312">
        <f t="shared" si="78"/>
        <v>43998167</v>
      </c>
      <c r="AN681" s="306" t="s">
        <v>1863</v>
      </c>
      <c r="AO681" s="312">
        <f t="shared" si="79"/>
        <v>0</v>
      </c>
      <c r="AP681" s="306"/>
      <c r="AQ681" s="306"/>
      <c r="AR681" s="306"/>
      <c r="AS681" s="306"/>
      <c r="AT681" s="306"/>
    </row>
    <row r="682" spans="1:46" ht="89.25" x14ac:dyDescent="0.25">
      <c r="A682" s="306">
        <v>87</v>
      </c>
      <c r="B682" s="306" t="str">
        <f t="shared" si="76"/>
        <v>3075-87</v>
      </c>
      <c r="C682" s="307" t="s">
        <v>1852</v>
      </c>
      <c r="D682" s="308" t="s">
        <v>1853</v>
      </c>
      <c r="E682" s="308" t="s">
        <v>1854</v>
      </c>
      <c r="F682" s="307" t="s">
        <v>1907</v>
      </c>
      <c r="G682" s="327" t="s">
        <v>1908</v>
      </c>
      <c r="H682" s="310" t="s">
        <v>1909</v>
      </c>
      <c r="I682" s="308" t="s">
        <v>1858</v>
      </c>
      <c r="J682" s="308" t="s">
        <v>1859</v>
      </c>
      <c r="K682" s="308">
        <v>801116</v>
      </c>
      <c r="L682" s="306" t="s">
        <v>1860</v>
      </c>
      <c r="M682" s="306" t="s">
        <v>59</v>
      </c>
      <c r="N682" s="306" t="s">
        <v>60</v>
      </c>
      <c r="O682" s="308" t="s">
        <v>1910</v>
      </c>
      <c r="P682" s="308" t="s">
        <v>2110</v>
      </c>
      <c r="Q682" s="315">
        <v>888375</v>
      </c>
      <c r="R682" s="306">
        <v>1</v>
      </c>
      <c r="S682" s="312">
        <v>10216313</v>
      </c>
      <c r="T682" s="306" t="s">
        <v>900</v>
      </c>
      <c r="U682" s="306" t="s">
        <v>1906</v>
      </c>
      <c r="V682" s="313" t="s">
        <v>308</v>
      </c>
      <c r="W682" s="314">
        <v>11.5</v>
      </c>
      <c r="X682" s="306" t="s">
        <v>2111</v>
      </c>
      <c r="Y682" s="313">
        <v>43109</v>
      </c>
      <c r="Z682" s="315">
        <v>10216313</v>
      </c>
      <c r="AA682" s="316" t="s">
        <v>63</v>
      </c>
      <c r="AB682" s="317">
        <v>472</v>
      </c>
      <c r="AC682" s="313">
        <v>43112</v>
      </c>
      <c r="AD682" s="312">
        <v>9772125</v>
      </c>
      <c r="AE682" s="318">
        <f t="shared" si="77"/>
        <v>0</v>
      </c>
      <c r="AF682" s="317">
        <v>294</v>
      </c>
      <c r="AG682" s="313">
        <v>43122</v>
      </c>
      <c r="AH682" s="312">
        <v>9772125</v>
      </c>
      <c r="AI682" s="306" t="s">
        <v>403</v>
      </c>
      <c r="AJ682" s="306">
        <v>261</v>
      </c>
      <c r="AK682" s="318">
        <f t="shared" si="80"/>
        <v>0</v>
      </c>
      <c r="AL682" s="312">
        <f t="shared" si="81"/>
        <v>2043262</v>
      </c>
      <c r="AM682" s="312">
        <f t="shared" si="78"/>
        <v>7728863</v>
      </c>
      <c r="AN682" s="306" t="s">
        <v>1863</v>
      </c>
      <c r="AO682" s="312">
        <f t="shared" si="79"/>
        <v>444188</v>
      </c>
      <c r="AP682" s="306"/>
      <c r="AQ682" s="306"/>
      <c r="AR682" s="306"/>
      <c r="AS682" s="306"/>
      <c r="AT682" s="306"/>
    </row>
    <row r="683" spans="1:46" ht="76.5" x14ac:dyDescent="0.25">
      <c r="A683" s="306">
        <v>88</v>
      </c>
      <c r="B683" s="306" t="str">
        <f t="shared" si="76"/>
        <v>3075-88</v>
      </c>
      <c r="C683" s="307" t="s">
        <v>1852</v>
      </c>
      <c r="D683" s="308" t="s">
        <v>1853</v>
      </c>
      <c r="E683" s="308" t="s">
        <v>1854</v>
      </c>
      <c r="F683" s="307" t="s">
        <v>1907</v>
      </c>
      <c r="G683" s="327" t="s">
        <v>1908</v>
      </c>
      <c r="H683" s="310" t="s">
        <v>1909</v>
      </c>
      <c r="I683" s="308" t="s">
        <v>1858</v>
      </c>
      <c r="J683" s="308" t="s">
        <v>1859</v>
      </c>
      <c r="K683" s="308">
        <v>801116</v>
      </c>
      <c r="L683" s="306" t="s">
        <v>1860</v>
      </c>
      <c r="M683" s="306" t="s">
        <v>59</v>
      </c>
      <c r="N683" s="306" t="s">
        <v>60</v>
      </c>
      <c r="O683" s="308" t="s">
        <v>1910</v>
      </c>
      <c r="P683" s="308" t="s">
        <v>2112</v>
      </c>
      <c r="Q683" s="315">
        <v>1030000</v>
      </c>
      <c r="R683" s="306">
        <v>1</v>
      </c>
      <c r="S683" s="312">
        <v>11845000</v>
      </c>
      <c r="T683" s="306" t="s">
        <v>900</v>
      </c>
      <c r="U683" s="306" t="s">
        <v>1906</v>
      </c>
      <c r="V683" s="313" t="s">
        <v>308</v>
      </c>
      <c r="W683" s="314">
        <v>11.5</v>
      </c>
      <c r="X683" s="306" t="s">
        <v>2113</v>
      </c>
      <c r="Y683" s="313">
        <v>43110</v>
      </c>
      <c r="Z683" s="315">
        <v>11845000</v>
      </c>
      <c r="AA683" s="316" t="s">
        <v>63</v>
      </c>
      <c r="AB683" s="317">
        <v>471</v>
      </c>
      <c r="AC683" s="313">
        <v>43112</v>
      </c>
      <c r="AD683" s="312">
        <v>11330000</v>
      </c>
      <c r="AE683" s="318">
        <f t="shared" si="77"/>
        <v>0</v>
      </c>
      <c r="AF683" s="317">
        <v>373</v>
      </c>
      <c r="AG683" s="313">
        <v>43124</v>
      </c>
      <c r="AH683" s="312">
        <v>11330000</v>
      </c>
      <c r="AI683" s="306" t="s">
        <v>399</v>
      </c>
      <c r="AJ683" s="306">
        <v>304</v>
      </c>
      <c r="AK683" s="318">
        <f t="shared" si="80"/>
        <v>0</v>
      </c>
      <c r="AL683" s="312">
        <f t="shared" si="81"/>
        <v>2300333</v>
      </c>
      <c r="AM683" s="312">
        <f t="shared" si="78"/>
        <v>9029667</v>
      </c>
      <c r="AN683" s="306" t="s">
        <v>1863</v>
      </c>
      <c r="AO683" s="312">
        <f t="shared" si="79"/>
        <v>515000</v>
      </c>
      <c r="AP683" s="306"/>
      <c r="AQ683" s="306"/>
      <c r="AR683" s="306"/>
      <c r="AS683" s="306"/>
      <c r="AT683" s="306"/>
    </row>
    <row r="684" spans="1:46" ht="76.5" x14ac:dyDescent="0.25">
      <c r="A684" s="306">
        <v>89</v>
      </c>
      <c r="B684" s="306" t="str">
        <f t="shared" si="76"/>
        <v>3075-89</v>
      </c>
      <c r="C684" s="307" t="s">
        <v>1852</v>
      </c>
      <c r="D684" s="308" t="s">
        <v>1853</v>
      </c>
      <c r="E684" s="308" t="s">
        <v>1854</v>
      </c>
      <c r="F684" s="307" t="s">
        <v>1907</v>
      </c>
      <c r="G684" s="327" t="s">
        <v>1908</v>
      </c>
      <c r="H684" s="310" t="s">
        <v>1909</v>
      </c>
      <c r="I684" s="308" t="s">
        <v>1858</v>
      </c>
      <c r="J684" s="308" t="s">
        <v>1859</v>
      </c>
      <c r="K684" s="308">
        <v>801116</v>
      </c>
      <c r="L684" s="306" t="s">
        <v>1860</v>
      </c>
      <c r="M684" s="306" t="s">
        <v>59</v>
      </c>
      <c r="N684" s="306" t="s">
        <v>60</v>
      </c>
      <c r="O684" s="308" t="s">
        <v>1910</v>
      </c>
      <c r="P684" s="308" t="s">
        <v>2114</v>
      </c>
      <c r="Q684" s="332">
        <v>1259175</v>
      </c>
      <c r="R684" s="306">
        <v>1</v>
      </c>
      <c r="S684" s="312">
        <v>14480513</v>
      </c>
      <c r="T684" s="306" t="s">
        <v>900</v>
      </c>
      <c r="U684" s="306" t="s">
        <v>1906</v>
      </c>
      <c r="V684" s="313" t="s">
        <v>308</v>
      </c>
      <c r="W684" s="314">
        <v>11.5</v>
      </c>
      <c r="X684" s="306" t="s">
        <v>2115</v>
      </c>
      <c r="Y684" s="313">
        <v>43110</v>
      </c>
      <c r="Z684" s="315">
        <v>14480513</v>
      </c>
      <c r="AA684" s="316" t="s">
        <v>63</v>
      </c>
      <c r="AB684" s="317">
        <v>447</v>
      </c>
      <c r="AC684" s="313">
        <v>43111</v>
      </c>
      <c r="AD684" s="312">
        <v>13850925</v>
      </c>
      <c r="AE684" s="318">
        <f t="shared" si="77"/>
        <v>0</v>
      </c>
      <c r="AF684" s="317">
        <v>176</v>
      </c>
      <c r="AG684" s="313">
        <v>43118</v>
      </c>
      <c r="AH684" s="312">
        <v>13850925</v>
      </c>
      <c r="AI684" s="306" t="s">
        <v>396</v>
      </c>
      <c r="AJ684" s="306">
        <v>160</v>
      </c>
      <c r="AK684" s="318">
        <f t="shared" si="80"/>
        <v>0</v>
      </c>
      <c r="AL684" s="312">
        <f t="shared" si="81"/>
        <v>3063992</v>
      </c>
      <c r="AM684" s="312">
        <f t="shared" si="78"/>
        <v>10786933</v>
      </c>
      <c r="AN684" s="306" t="s">
        <v>1863</v>
      </c>
      <c r="AO684" s="312">
        <f t="shared" si="79"/>
        <v>629588</v>
      </c>
      <c r="AP684" s="306"/>
      <c r="AQ684" s="306"/>
      <c r="AR684" s="306"/>
      <c r="AS684" s="306"/>
      <c r="AT684" s="306"/>
    </row>
    <row r="685" spans="1:46" ht="76.5" x14ac:dyDescent="0.25">
      <c r="A685" s="306">
        <v>90</v>
      </c>
      <c r="B685" s="306" t="str">
        <f t="shared" si="76"/>
        <v>3075-90</v>
      </c>
      <c r="C685" s="307" t="s">
        <v>1852</v>
      </c>
      <c r="D685" s="308" t="s">
        <v>1853</v>
      </c>
      <c r="E685" s="308" t="s">
        <v>1854</v>
      </c>
      <c r="F685" s="307" t="s">
        <v>1907</v>
      </c>
      <c r="G685" s="327" t="s">
        <v>1908</v>
      </c>
      <c r="H685" s="310" t="s">
        <v>1909</v>
      </c>
      <c r="I685" s="308" t="s">
        <v>1858</v>
      </c>
      <c r="J685" s="308" t="s">
        <v>1859</v>
      </c>
      <c r="K685" s="308">
        <v>801116</v>
      </c>
      <c r="L685" s="306" t="s">
        <v>1860</v>
      </c>
      <c r="M685" s="306" t="s">
        <v>59</v>
      </c>
      <c r="N685" s="306" t="s">
        <v>60</v>
      </c>
      <c r="O685" s="308" t="s">
        <v>1910</v>
      </c>
      <c r="P685" s="308" t="s">
        <v>2116</v>
      </c>
      <c r="Q685" s="315">
        <v>1751000</v>
      </c>
      <c r="R685" s="306">
        <v>1</v>
      </c>
      <c r="S685" s="312">
        <v>19261000</v>
      </c>
      <c r="T685" s="306" t="s">
        <v>934</v>
      </c>
      <c r="U685" s="306" t="s">
        <v>1906</v>
      </c>
      <c r="V685" s="313" t="s">
        <v>308</v>
      </c>
      <c r="W685" s="314">
        <v>11.257999999999999</v>
      </c>
      <c r="X685" s="306" t="s">
        <v>2117</v>
      </c>
      <c r="Y685" s="313">
        <v>43109</v>
      </c>
      <c r="Z685" s="315">
        <v>19261000</v>
      </c>
      <c r="AA685" s="316" t="s">
        <v>63</v>
      </c>
      <c r="AB685" s="317">
        <v>457</v>
      </c>
      <c r="AC685" s="313">
        <v>43111</v>
      </c>
      <c r="AD685" s="312">
        <v>19261000</v>
      </c>
      <c r="AE685" s="318">
        <f t="shared" si="77"/>
        <v>0</v>
      </c>
      <c r="AF685" s="317">
        <v>209</v>
      </c>
      <c r="AG685" s="313">
        <v>43118</v>
      </c>
      <c r="AH685" s="312">
        <v>19261000</v>
      </c>
      <c r="AI685" s="306" t="s">
        <v>2118</v>
      </c>
      <c r="AJ685" s="306">
        <v>169</v>
      </c>
      <c r="AK685" s="318">
        <f t="shared" si="80"/>
        <v>0</v>
      </c>
      <c r="AL685" s="312">
        <f t="shared" si="81"/>
        <v>4202400</v>
      </c>
      <c r="AM685" s="312">
        <f t="shared" si="78"/>
        <v>15058600</v>
      </c>
      <c r="AN685" s="306" t="s">
        <v>1863</v>
      </c>
      <c r="AO685" s="312">
        <f t="shared" si="79"/>
        <v>0</v>
      </c>
      <c r="AP685" s="306"/>
      <c r="AQ685" s="306"/>
      <c r="AR685" s="306"/>
      <c r="AS685" s="306"/>
      <c r="AT685" s="306"/>
    </row>
    <row r="686" spans="1:46" ht="89.25" x14ac:dyDescent="0.25">
      <c r="A686" s="306">
        <v>91</v>
      </c>
      <c r="B686" s="306" t="str">
        <f t="shared" si="76"/>
        <v>3075-91</v>
      </c>
      <c r="C686" s="307" t="s">
        <v>1852</v>
      </c>
      <c r="D686" s="308" t="s">
        <v>1853</v>
      </c>
      <c r="E686" s="308" t="s">
        <v>2119</v>
      </c>
      <c r="F686" s="307" t="s">
        <v>1880</v>
      </c>
      <c r="G686" s="327" t="s">
        <v>1881</v>
      </c>
      <c r="H686" s="310" t="s">
        <v>2120</v>
      </c>
      <c r="I686" s="308" t="s">
        <v>1858</v>
      </c>
      <c r="J686" s="308" t="s">
        <v>1859</v>
      </c>
      <c r="K686" s="308" t="s">
        <v>63</v>
      </c>
      <c r="L686" s="306" t="s">
        <v>1860</v>
      </c>
      <c r="M686" s="306" t="s">
        <v>59</v>
      </c>
      <c r="N686" s="306" t="s">
        <v>60</v>
      </c>
      <c r="O686" s="308" t="s">
        <v>1910</v>
      </c>
      <c r="P686" s="306" t="s">
        <v>2121</v>
      </c>
      <c r="Q686" s="315">
        <v>57510750</v>
      </c>
      <c r="R686" s="333">
        <v>1.2463756775907113E-3</v>
      </c>
      <c r="S686" s="312">
        <v>71680</v>
      </c>
      <c r="T686" s="306"/>
      <c r="U686" s="306" t="s">
        <v>1876</v>
      </c>
      <c r="V686" s="320" t="s">
        <v>302</v>
      </c>
      <c r="W686" s="314" t="s">
        <v>63</v>
      </c>
      <c r="X686" s="334"/>
      <c r="Y686" s="313"/>
      <c r="Z686" s="315"/>
      <c r="AA686" s="316"/>
      <c r="AB686" s="317"/>
      <c r="AC686" s="313"/>
      <c r="AD686" s="312"/>
      <c r="AE686" s="318">
        <f t="shared" si="77"/>
        <v>71680</v>
      </c>
      <c r="AF686" s="317"/>
      <c r="AG686" s="313"/>
      <c r="AH686" s="312"/>
      <c r="AI686" s="306"/>
      <c r="AJ686" s="306"/>
      <c r="AK686" s="318">
        <f t="shared" si="80"/>
        <v>0</v>
      </c>
      <c r="AL686" s="312">
        <v>0</v>
      </c>
      <c r="AM686" s="312">
        <f t="shared" si="78"/>
        <v>0</v>
      </c>
      <c r="AN686" s="306" t="s">
        <v>1863</v>
      </c>
      <c r="AO686" s="312">
        <f t="shared" si="79"/>
        <v>71680</v>
      </c>
      <c r="AP686" s="306"/>
      <c r="AQ686" s="306"/>
      <c r="AR686" s="306"/>
      <c r="AS686" s="306"/>
      <c r="AT686" s="306"/>
    </row>
    <row r="687" spans="1:46" ht="114.75" x14ac:dyDescent="0.25">
      <c r="A687" s="306">
        <v>92</v>
      </c>
      <c r="B687" s="306" t="str">
        <f t="shared" si="76"/>
        <v>3075-92</v>
      </c>
      <c r="C687" s="307" t="s">
        <v>1852</v>
      </c>
      <c r="D687" s="308" t="s">
        <v>1853</v>
      </c>
      <c r="E687" s="308" t="s">
        <v>2119</v>
      </c>
      <c r="F687" s="307" t="s">
        <v>1907</v>
      </c>
      <c r="G687" s="319" t="s">
        <v>2122</v>
      </c>
      <c r="H687" s="335" t="s">
        <v>1909</v>
      </c>
      <c r="I687" s="308" t="s">
        <v>1858</v>
      </c>
      <c r="J687" s="308" t="s">
        <v>1859</v>
      </c>
      <c r="K687" s="308"/>
      <c r="L687" s="306" t="s">
        <v>1860</v>
      </c>
      <c r="M687" s="306" t="s">
        <v>59</v>
      </c>
      <c r="N687" s="306" t="s">
        <v>60</v>
      </c>
      <c r="O687" s="308" t="s">
        <v>1910</v>
      </c>
      <c r="P687" s="306" t="s">
        <v>2123</v>
      </c>
      <c r="Q687" s="315">
        <v>17500000</v>
      </c>
      <c r="R687" s="333">
        <v>1</v>
      </c>
      <c r="S687" s="312">
        <v>74378010</v>
      </c>
      <c r="T687" s="306"/>
      <c r="U687" s="306" t="s">
        <v>1906</v>
      </c>
      <c r="V687" s="313" t="s">
        <v>1015</v>
      </c>
      <c r="W687" s="314">
        <v>4.2501720000000001</v>
      </c>
      <c r="X687" s="334"/>
      <c r="Y687" s="313"/>
      <c r="Z687" s="315"/>
      <c r="AA687" s="316"/>
      <c r="AB687" s="317"/>
      <c r="AC687" s="313"/>
      <c r="AD687" s="312"/>
      <c r="AE687" s="318">
        <f t="shared" si="77"/>
        <v>74378010</v>
      </c>
      <c r="AF687" s="317"/>
      <c r="AG687" s="313"/>
      <c r="AH687" s="312"/>
      <c r="AI687" s="306"/>
      <c r="AJ687" s="306"/>
      <c r="AK687" s="318">
        <f t="shared" si="80"/>
        <v>0</v>
      </c>
      <c r="AL687" s="312">
        <v>0</v>
      </c>
      <c r="AM687" s="312">
        <f t="shared" si="78"/>
        <v>0</v>
      </c>
      <c r="AN687" s="306" t="s">
        <v>1863</v>
      </c>
      <c r="AO687" s="312">
        <f t="shared" si="79"/>
        <v>74378010</v>
      </c>
      <c r="AP687" s="306"/>
      <c r="AQ687" s="306"/>
      <c r="AR687" s="306"/>
      <c r="AS687" s="306"/>
      <c r="AT687" s="306"/>
    </row>
    <row r="688" spans="1:46" ht="114.75" x14ac:dyDescent="0.25">
      <c r="A688" s="306">
        <v>93</v>
      </c>
      <c r="B688" s="306" t="str">
        <f t="shared" si="76"/>
        <v>3075-93</v>
      </c>
      <c r="C688" s="307" t="s">
        <v>1852</v>
      </c>
      <c r="D688" s="308" t="s">
        <v>1853</v>
      </c>
      <c r="E688" s="308" t="s">
        <v>2119</v>
      </c>
      <c r="F688" s="307" t="s">
        <v>1907</v>
      </c>
      <c r="G688" s="319" t="s">
        <v>2122</v>
      </c>
      <c r="H688" s="335" t="s">
        <v>1909</v>
      </c>
      <c r="I688" s="308" t="s">
        <v>1858</v>
      </c>
      <c r="J688" s="308" t="s">
        <v>1859</v>
      </c>
      <c r="K688" s="308"/>
      <c r="L688" s="306" t="s">
        <v>1860</v>
      </c>
      <c r="M688" s="306" t="s">
        <v>59</v>
      </c>
      <c r="N688" s="306" t="s">
        <v>60</v>
      </c>
      <c r="O688" s="308" t="s">
        <v>1910</v>
      </c>
      <c r="P688" s="306" t="s">
        <v>2123</v>
      </c>
      <c r="Q688" s="315">
        <v>39111111.111111112</v>
      </c>
      <c r="R688" s="333">
        <v>1</v>
      </c>
      <c r="S688" s="312">
        <v>155939786</v>
      </c>
      <c r="T688" s="306"/>
      <c r="U688" s="306" t="s">
        <v>1906</v>
      </c>
      <c r="V688" s="313" t="s">
        <v>1015</v>
      </c>
      <c r="W688" s="314">
        <v>4</v>
      </c>
      <c r="X688" s="311"/>
      <c r="Y688" s="313"/>
      <c r="Z688" s="315"/>
      <c r="AA688" s="316"/>
      <c r="AB688" s="317"/>
      <c r="AC688" s="313"/>
      <c r="AD688" s="312"/>
      <c r="AE688" s="318">
        <f t="shared" si="77"/>
        <v>155939786</v>
      </c>
      <c r="AF688" s="317"/>
      <c r="AG688" s="313"/>
      <c r="AH688" s="312"/>
      <c r="AI688" s="306"/>
      <c r="AJ688" s="306"/>
      <c r="AK688" s="318">
        <f t="shared" si="80"/>
        <v>0</v>
      </c>
      <c r="AL688" s="312">
        <v>0</v>
      </c>
      <c r="AM688" s="312">
        <f t="shared" si="78"/>
        <v>0</v>
      </c>
      <c r="AN688" s="306" t="s">
        <v>1863</v>
      </c>
      <c r="AO688" s="312">
        <f t="shared" si="79"/>
        <v>155939786</v>
      </c>
      <c r="AP688" s="306"/>
      <c r="AQ688" s="306"/>
      <c r="AR688" s="306"/>
      <c r="AS688" s="306"/>
      <c r="AT688" s="306"/>
    </row>
    <row r="689" spans="1:46" ht="114.75" x14ac:dyDescent="0.25">
      <c r="A689" s="306">
        <v>94</v>
      </c>
      <c r="B689" s="306" t="str">
        <f t="shared" si="76"/>
        <v>3075-94</v>
      </c>
      <c r="C689" s="307" t="s">
        <v>1852</v>
      </c>
      <c r="D689" s="308" t="s">
        <v>1853</v>
      </c>
      <c r="E689" s="308" t="s">
        <v>2119</v>
      </c>
      <c r="F689" s="307" t="s">
        <v>1907</v>
      </c>
      <c r="G689" s="319" t="s">
        <v>2122</v>
      </c>
      <c r="H689" s="335" t="s">
        <v>1909</v>
      </c>
      <c r="I689" s="308" t="s">
        <v>1858</v>
      </c>
      <c r="J689" s="308" t="s">
        <v>1859</v>
      </c>
      <c r="K689" s="308"/>
      <c r="L689" s="306" t="s">
        <v>1860</v>
      </c>
      <c r="M689" s="306" t="s">
        <v>59</v>
      </c>
      <c r="N689" s="306" t="s">
        <v>60</v>
      </c>
      <c r="O689" s="308" t="s">
        <v>1910</v>
      </c>
      <c r="P689" s="306" t="s">
        <v>2123</v>
      </c>
      <c r="Q689" s="315">
        <v>10900050</v>
      </c>
      <c r="R689" s="333">
        <v>1</v>
      </c>
      <c r="S689" s="312">
        <v>75068369</v>
      </c>
      <c r="T689" s="306"/>
      <c r="U689" s="306" t="s">
        <v>1906</v>
      </c>
      <c r="V689" s="313" t="s">
        <v>1015</v>
      </c>
      <c r="W689" s="314">
        <v>7</v>
      </c>
      <c r="X689" s="336"/>
      <c r="Y689" s="313"/>
      <c r="Z689" s="315"/>
      <c r="AA689" s="316"/>
      <c r="AB689" s="317"/>
      <c r="AC689" s="313"/>
      <c r="AD689" s="312"/>
      <c r="AE689" s="318">
        <f t="shared" si="77"/>
        <v>75068369</v>
      </c>
      <c r="AF689" s="317"/>
      <c r="AG689" s="313"/>
      <c r="AH689" s="312"/>
      <c r="AI689" s="306"/>
      <c r="AJ689" s="306"/>
      <c r="AK689" s="318">
        <f t="shared" si="80"/>
        <v>0</v>
      </c>
      <c r="AL689" s="312">
        <v>0</v>
      </c>
      <c r="AM689" s="312">
        <f t="shared" si="78"/>
        <v>0</v>
      </c>
      <c r="AN689" s="306" t="s">
        <v>1863</v>
      </c>
      <c r="AO689" s="312">
        <f t="shared" si="79"/>
        <v>75068369</v>
      </c>
      <c r="AP689" s="306"/>
      <c r="AQ689" s="306"/>
      <c r="AR689" s="306"/>
      <c r="AS689" s="306"/>
      <c r="AT689" s="306"/>
    </row>
    <row r="690" spans="1:46" ht="114.75" x14ac:dyDescent="0.25">
      <c r="A690" s="306">
        <v>95</v>
      </c>
      <c r="B690" s="306" t="str">
        <f t="shared" si="76"/>
        <v>3075-95</v>
      </c>
      <c r="C690" s="307" t="s">
        <v>1852</v>
      </c>
      <c r="D690" s="308" t="s">
        <v>1853</v>
      </c>
      <c r="E690" s="308" t="s">
        <v>2119</v>
      </c>
      <c r="F690" s="307" t="s">
        <v>1907</v>
      </c>
      <c r="G690" s="319" t="s">
        <v>2122</v>
      </c>
      <c r="H690" s="335" t="s">
        <v>1909</v>
      </c>
      <c r="I690" s="308" t="s">
        <v>1858</v>
      </c>
      <c r="J690" s="308" t="s">
        <v>1859</v>
      </c>
      <c r="K690" s="308"/>
      <c r="L690" s="306" t="s">
        <v>1860</v>
      </c>
      <c r="M690" s="306" t="s">
        <v>59</v>
      </c>
      <c r="N690" s="306" t="s">
        <v>60</v>
      </c>
      <c r="O690" s="308" t="s">
        <v>1910</v>
      </c>
      <c r="P690" s="306" t="s">
        <v>2123</v>
      </c>
      <c r="Q690" s="315">
        <v>3097500</v>
      </c>
      <c r="R690" s="333">
        <v>1</v>
      </c>
      <c r="S690" s="312">
        <v>12689435</v>
      </c>
      <c r="T690" s="306"/>
      <c r="U690" s="306" t="s">
        <v>1906</v>
      </c>
      <c r="V690" s="313" t="s">
        <v>1015</v>
      </c>
      <c r="W690" s="314">
        <v>4</v>
      </c>
      <c r="X690" s="311"/>
      <c r="Y690" s="313"/>
      <c r="Z690" s="315"/>
      <c r="AA690" s="316"/>
      <c r="AB690" s="317"/>
      <c r="AC690" s="313"/>
      <c r="AD690" s="312"/>
      <c r="AE690" s="318">
        <f t="shared" si="77"/>
        <v>12689435</v>
      </c>
      <c r="AF690" s="317"/>
      <c r="AG690" s="313"/>
      <c r="AH690" s="312"/>
      <c r="AI690" s="306"/>
      <c r="AJ690" s="306"/>
      <c r="AK690" s="318">
        <f t="shared" si="80"/>
        <v>0</v>
      </c>
      <c r="AL690" s="312">
        <v>0</v>
      </c>
      <c r="AM690" s="312">
        <f t="shared" si="78"/>
        <v>0</v>
      </c>
      <c r="AN690" s="306" t="s">
        <v>1863</v>
      </c>
      <c r="AO690" s="312">
        <f t="shared" si="79"/>
        <v>12689435</v>
      </c>
      <c r="AP690" s="306"/>
      <c r="AQ690" s="306"/>
      <c r="AR690" s="306"/>
      <c r="AS690" s="306"/>
      <c r="AT690" s="306"/>
    </row>
    <row r="691" spans="1:46" ht="140.25" x14ac:dyDescent="0.25">
      <c r="A691" s="306">
        <v>96</v>
      </c>
      <c r="B691" s="306" t="str">
        <f t="shared" si="76"/>
        <v>3075-96</v>
      </c>
      <c r="C691" s="307" t="s">
        <v>1852</v>
      </c>
      <c r="D691" s="308" t="s">
        <v>1853</v>
      </c>
      <c r="E691" s="308" t="s">
        <v>2119</v>
      </c>
      <c r="F691" s="307" t="s">
        <v>1907</v>
      </c>
      <c r="G691" s="327" t="s">
        <v>1908</v>
      </c>
      <c r="H691" s="335" t="s">
        <v>1909</v>
      </c>
      <c r="I691" s="308" t="s">
        <v>1858</v>
      </c>
      <c r="J691" s="308" t="s">
        <v>1859</v>
      </c>
      <c r="K691" s="308">
        <v>801116</v>
      </c>
      <c r="L691" s="306" t="s">
        <v>1860</v>
      </c>
      <c r="M691" s="306" t="s">
        <v>59</v>
      </c>
      <c r="N691" s="306" t="s">
        <v>60</v>
      </c>
      <c r="O691" s="308" t="s">
        <v>1910</v>
      </c>
      <c r="P691" s="308" t="s">
        <v>2124</v>
      </c>
      <c r="Q691" s="315">
        <v>4120000</v>
      </c>
      <c r="R691" s="333">
        <v>1</v>
      </c>
      <c r="S691" s="312">
        <v>24720000</v>
      </c>
      <c r="T691" s="306" t="s">
        <v>900</v>
      </c>
      <c r="U691" s="306" t="s">
        <v>1906</v>
      </c>
      <c r="V691" s="313" t="s">
        <v>308</v>
      </c>
      <c r="W691" s="314">
        <v>6</v>
      </c>
      <c r="X691" s="306" t="s">
        <v>2125</v>
      </c>
      <c r="Y691" s="313">
        <v>43104</v>
      </c>
      <c r="Z691" s="315">
        <v>24720000</v>
      </c>
      <c r="AA691" s="316" t="s">
        <v>63</v>
      </c>
      <c r="AB691" s="317">
        <v>460</v>
      </c>
      <c r="AC691" s="313">
        <v>43111</v>
      </c>
      <c r="AD691" s="312">
        <v>24720000</v>
      </c>
      <c r="AE691" s="318">
        <f t="shared" si="77"/>
        <v>0</v>
      </c>
      <c r="AF691" s="317">
        <v>401</v>
      </c>
      <c r="AG691" s="313">
        <v>43124</v>
      </c>
      <c r="AH691" s="312">
        <v>24720000</v>
      </c>
      <c r="AI691" s="306" t="s">
        <v>2126</v>
      </c>
      <c r="AJ691" s="306">
        <v>322</v>
      </c>
      <c r="AK691" s="318">
        <f t="shared" si="80"/>
        <v>0</v>
      </c>
      <c r="AL691" s="312">
        <f>VLOOKUP(AB691,RP,13,FALSE)</f>
        <v>9201333</v>
      </c>
      <c r="AM691" s="312">
        <f t="shared" si="78"/>
        <v>15518667</v>
      </c>
      <c r="AN691" s="306" t="s">
        <v>1863</v>
      </c>
      <c r="AO691" s="312">
        <f t="shared" si="79"/>
        <v>0</v>
      </c>
      <c r="AP691" s="306"/>
      <c r="AQ691" s="306"/>
      <c r="AR691" s="306"/>
      <c r="AS691" s="306"/>
      <c r="AT691" s="306"/>
    </row>
    <row r="692" spans="1:46" ht="127.5" x14ac:dyDescent="0.25">
      <c r="A692" s="306">
        <v>97</v>
      </c>
      <c r="B692" s="306" t="str">
        <f t="shared" si="76"/>
        <v>3075-97</v>
      </c>
      <c r="C692" s="307" t="s">
        <v>1852</v>
      </c>
      <c r="D692" s="308" t="s">
        <v>1853</v>
      </c>
      <c r="E692" s="308" t="s">
        <v>2119</v>
      </c>
      <c r="F692" s="307" t="s">
        <v>1907</v>
      </c>
      <c r="G692" s="327" t="s">
        <v>1908</v>
      </c>
      <c r="H692" s="335" t="s">
        <v>1909</v>
      </c>
      <c r="I692" s="308" t="s">
        <v>1858</v>
      </c>
      <c r="J692" s="308" t="s">
        <v>1859</v>
      </c>
      <c r="K692" s="308">
        <v>801116</v>
      </c>
      <c r="L692" s="306" t="s">
        <v>1860</v>
      </c>
      <c r="M692" s="306" t="s">
        <v>59</v>
      </c>
      <c r="N692" s="306" t="s">
        <v>60</v>
      </c>
      <c r="O692" s="308" t="s">
        <v>1910</v>
      </c>
      <c r="P692" s="329" t="s">
        <v>2127</v>
      </c>
      <c r="Q692" s="315">
        <v>3553500</v>
      </c>
      <c r="R692" s="333">
        <v>1</v>
      </c>
      <c r="S692" s="312">
        <v>21321000</v>
      </c>
      <c r="T692" s="306" t="s">
        <v>900</v>
      </c>
      <c r="U692" s="306" t="s">
        <v>1906</v>
      </c>
      <c r="V692" s="313" t="s">
        <v>308</v>
      </c>
      <c r="W692" s="314">
        <v>6</v>
      </c>
      <c r="X692" s="329" t="s">
        <v>2128</v>
      </c>
      <c r="Y692" s="313">
        <v>43104</v>
      </c>
      <c r="Z692" s="315">
        <v>21321000</v>
      </c>
      <c r="AA692" s="316" t="s">
        <v>63</v>
      </c>
      <c r="AB692" s="317">
        <v>413</v>
      </c>
      <c r="AC692" s="313">
        <v>43111</v>
      </c>
      <c r="AD692" s="312">
        <v>21321000</v>
      </c>
      <c r="AE692" s="318">
        <f t="shared" si="77"/>
        <v>0</v>
      </c>
      <c r="AF692" s="317">
        <v>426</v>
      </c>
      <c r="AG692" s="313">
        <v>43124</v>
      </c>
      <c r="AH692" s="312">
        <v>21321000</v>
      </c>
      <c r="AI692" s="306" t="s">
        <v>2129</v>
      </c>
      <c r="AJ692" s="306">
        <v>361</v>
      </c>
      <c r="AK692" s="318">
        <f t="shared" si="80"/>
        <v>0</v>
      </c>
      <c r="AL692" s="312">
        <f>VLOOKUP(AB692,RP,13,FALSE)</f>
        <v>7817700</v>
      </c>
      <c r="AM692" s="312">
        <f t="shared" si="78"/>
        <v>13503300</v>
      </c>
      <c r="AN692" s="306" t="s">
        <v>1863</v>
      </c>
      <c r="AO692" s="312">
        <f t="shared" si="79"/>
        <v>0</v>
      </c>
      <c r="AP692" s="306"/>
      <c r="AQ692" s="306"/>
      <c r="AR692" s="306"/>
      <c r="AS692" s="306"/>
      <c r="AT692" s="306"/>
    </row>
    <row r="693" spans="1:46" ht="153" x14ac:dyDescent="0.25">
      <c r="A693" s="306">
        <v>98</v>
      </c>
      <c r="B693" s="306" t="str">
        <f t="shared" si="76"/>
        <v>3075-98</v>
      </c>
      <c r="C693" s="307" t="s">
        <v>1852</v>
      </c>
      <c r="D693" s="308" t="s">
        <v>1853</v>
      </c>
      <c r="E693" s="308" t="s">
        <v>2119</v>
      </c>
      <c r="F693" s="307" t="s">
        <v>1907</v>
      </c>
      <c r="G693" s="327" t="s">
        <v>1908</v>
      </c>
      <c r="H693" s="335" t="s">
        <v>1909</v>
      </c>
      <c r="I693" s="308" t="s">
        <v>1858</v>
      </c>
      <c r="J693" s="308" t="s">
        <v>1859</v>
      </c>
      <c r="K693" s="308">
        <v>801116</v>
      </c>
      <c r="L693" s="306" t="s">
        <v>1860</v>
      </c>
      <c r="M693" s="306" t="s">
        <v>59</v>
      </c>
      <c r="N693" s="306" t="s">
        <v>60</v>
      </c>
      <c r="O693" s="308" t="s">
        <v>1910</v>
      </c>
      <c r="P693" s="329" t="s">
        <v>2130</v>
      </c>
      <c r="Q693" s="315">
        <v>3399000</v>
      </c>
      <c r="R693" s="306">
        <v>3</v>
      </c>
      <c r="S693" s="312">
        <v>23640000</v>
      </c>
      <c r="T693" s="306"/>
      <c r="U693" s="306" t="s">
        <v>1906</v>
      </c>
      <c r="V693" s="313" t="s">
        <v>302</v>
      </c>
      <c r="W693" s="314">
        <v>7</v>
      </c>
      <c r="X693" s="329" t="s">
        <v>2131</v>
      </c>
      <c r="Y693" s="313">
        <v>43161</v>
      </c>
      <c r="Z693" s="315">
        <v>15300000</v>
      </c>
      <c r="AA693" s="316" t="s">
        <v>63</v>
      </c>
      <c r="AB693" s="317">
        <v>677</v>
      </c>
      <c r="AC693" s="313">
        <v>43164</v>
      </c>
      <c r="AD693" s="312">
        <v>15300000</v>
      </c>
      <c r="AE693" s="318">
        <f t="shared" si="77"/>
        <v>8340000</v>
      </c>
      <c r="AF693" s="317">
        <v>1754</v>
      </c>
      <c r="AG693" s="313">
        <v>43200</v>
      </c>
      <c r="AH693" s="312">
        <v>15300000</v>
      </c>
      <c r="AI693" s="306" t="s">
        <v>2132</v>
      </c>
      <c r="AJ693" s="306">
        <v>548</v>
      </c>
      <c r="AK693" s="318">
        <f t="shared" si="80"/>
        <v>0</v>
      </c>
      <c r="AL693" s="312">
        <f>VLOOKUP(AB693,RP,13,FALSE)</f>
        <v>0</v>
      </c>
      <c r="AM693" s="312">
        <f t="shared" si="78"/>
        <v>15300000</v>
      </c>
      <c r="AN693" s="306" t="s">
        <v>1863</v>
      </c>
      <c r="AO693" s="312">
        <f t="shared" si="79"/>
        <v>8340000</v>
      </c>
      <c r="AP693" s="306" t="s">
        <v>2133</v>
      </c>
      <c r="AQ693" s="313">
        <v>43160</v>
      </c>
      <c r="AR693" s="306" t="s">
        <v>1878</v>
      </c>
      <c r="AS693" s="313">
        <v>43161</v>
      </c>
      <c r="AT693" s="306" t="s">
        <v>2134</v>
      </c>
    </row>
    <row r="694" spans="1:46" ht="114.75" x14ac:dyDescent="0.25">
      <c r="A694" s="306">
        <v>99</v>
      </c>
      <c r="B694" s="306" t="str">
        <f t="shared" si="76"/>
        <v>3075-99</v>
      </c>
      <c r="C694" s="307" t="s">
        <v>1852</v>
      </c>
      <c r="D694" s="308" t="s">
        <v>1853</v>
      </c>
      <c r="E694" s="308" t="s">
        <v>2119</v>
      </c>
      <c r="F694" s="307" t="s">
        <v>1907</v>
      </c>
      <c r="G694" s="327" t="s">
        <v>1908</v>
      </c>
      <c r="H694" s="335" t="s">
        <v>1909</v>
      </c>
      <c r="I694" s="308" t="s">
        <v>1858</v>
      </c>
      <c r="J694" s="308" t="s">
        <v>1859</v>
      </c>
      <c r="K694" s="308">
        <v>801116</v>
      </c>
      <c r="L694" s="306" t="s">
        <v>1860</v>
      </c>
      <c r="M694" s="306" t="s">
        <v>59</v>
      </c>
      <c r="N694" s="306" t="s">
        <v>60</v>
      </c>
      <c r="O694" s="308" t="s">
        <v>1910</v>
      </c>
      <c r="P694" s="329" t="s">
        <v>2135</v>
      </c>
      <c r="Q694" s="315">
        <v>3553500</v>
      </c>
      <c r="R694" s="333">
        <v>2</v>
      </c>
      <c r="S694" s="312">
        <v>21321000</v>
      </c>
      <c r="T694" s="306"/>
      <c r="U694" s="306" t="s">
        <v>1906</v>
      </c>
      <c r="V694" s="320" t="s">
        <v>302</v>
      </c>
      <c r="W694" s="314">
        <v>6</v>
      </c>
      <c r="X694" s="329"/>
      <c r="Y694" s="313"/>
      <c r="Z694" s="315"/>
      <c r="AA694" s="316"/>
      <c r="AB694" s="317"/>
      <c r="AC694" s="313"/>
      <c r="AD694" s="312"/>
      <c r="AE694" s="318">
        <f t="shared" si="77"/>
        <v>21321000</v>
      </c>
      <c r="AF694" s="317"/>
      <c r="AG694" s="313"/>
      <c r="AH694" s="312"/>
      <c r="AI694" s="306"/>
      <c r="AJ694" s="306"/>
      <c r="AK694" s="318">
        <f t="shared" si="80"/>
        <v>0</v>
      </c>
      <c r="AL694" s="312">
        <v>0</v>
      </c>
      <c r="AM694" s="312">
        <f t="shared" si="78"/>
        <v>0</v>
      </c>
      <c r="AN694" s="306" t="s">
        <v>1863</v>
      </c>
      <c r="AO694" s="312">
        <f t="shared" si="79"/>
        <v>21321000</v>
      </c>
      <c r="AP694" s="306"/>
      <c r="AQ694" s="306"/>
      <c r="AR694" s="306"/>
      <c r="AS694" s="306"/>
      <c r="AT694" s="306"/>
    </row>
    <row r="695" spans="1:46" ht="76.5" x14ac:dyDescent="0.25">
      <c r="A695" s="306">
        <v>100</v>
      </c>
      <c r="B695" s="306" t="str">
        <f t="shared" si="76"/>
        <v>3075-100</v>
      </c>
      <c r="C695" s="307" t="s">
        <v>1852</v>
      </c>
      <c r="D695" s="308" t="s">
        <v>1853</v>
      </c>
      <c r="E695" s="308" t="s">
        <v>2119</v>
      </c>
      <c r="F695" s="307" t="s">
        <v>1907</v>
      </c>
      <c r="G695" s="327" t="s">
        <v>1908</v>
      </c>
      <c r="H695" s="335" t="s">
        <v>1909</v>
      </c>
      <c r="I695" s="308" t="s">
        <v>1858</v>
      </c>
      <c r="J695" s="308" t="s">
        <v>1859</v>
      </c>
      <c r="K695" s="308">
        <v>801116</v>
      </c>
      <c r="L695" s="306" t="s">
        <v>1860</v>
      </c>
      <c r="M695" s="306" t="s">
        <v>59</v>
      </c>
      <c r="N695" s="306" t="s">
        <v>60</v>
      </c>
      <c r="O695" s="308" t="s">
        <v>1910</v>
      </c>
      <c r="P695" s="329" t="s">
        <v>1971</v>
      </c>
      <c r="Q695" s="315">
        <v>4120000</v>
      </c>
      <c r="R695" s="333">
        <v>1</v>
      </c>
      <c r="S695" s="312">
        <v>24720000</v>
      </c>
      <c r="T695" s="306" t="s">
        <v>934</v>
      </c>
      <c r="U695" s="306" t="s">
        <v>1906</v>
      </c>
      <c r="V695" s="313" t="s">
        <v>308</v>
      </c>
      <c r="W695" s="314">
        <v>6</v>
      </c>
      <c r="X695" s="329" t="s">
        <v>2136</v>
      </c>
      <c r="Y695" s="313">
        <v>43119</v>
      </c>
      <c r="Z695" s="315">
        <v>19961400</v>
      </c>
      <c r="AA695" s="316" t="s">
        <v>63</v>
      </c>
      <c r="AB695" s="317">
        <v>554</v>
      </c>
      <c r="AC695" s="313">
        <v>43122</v>
      </c>
      <c r="AD695" s="312">
        <v>19961400</v>
      </c>
      <c r="AE695" s="318">
        <f t="shared" si="77"/>
        <v>4758600</v>
      </c>
      <c r="AF695" s="317">
        <v>473</v>
      </c>
      <c r="AG695" s="313">
        <v>43126</v>
      </c>
      <c r="AH695" s="312">
        <v>19961400</v>
      </c>
      <c r="AI695" s="306" t="s">
        <v>2137</v>
      </c>
      <c r="AJ695" s="306">
        <v>399</v>
      </c>
      <c r="AK695" s="318">
        <f t="shared" si="80"/>
        <v>0</v>
      </c>
      <c r="AL695" s="312">
        <f t="shared" ref="AL695:AL702" si="82">VLOOKUP(AB695,RP,13,FALSE)</f>
        <v>7208283</v>
      </c>
      <c r="AM695" s="312">
        <f t="shared" si="78"/>
        <v>12753117</v>
      </c>
      <c r="AN695" s="306" t="s">
        <v>1863</v>
      </c>
      <c r="AO695" s="312">
        <f t="shared" si="79"/>
        <v>4758600</v>
      </c>
      <c r="AP695" s="306"/>
      <c r="AQ695" s="306"/>
      <c r="AR695" s="306"/>
      <c r="AS695" s="306"/>
      <c r="AT695" s="306"/>
    </row>
    <row r="696" spans="1:46" ht="140.25" x14ac:dyDescent="0.25">
      <c r="A696" s="306">
        <v>101</v>
      </c>
      <c r="B696" s="306" t="str">
        <f t="shared" si="76"/>
        <v>3075-101</v>
      </c>
      <c r="C696" s="307" t="s">
        <v>1852</v>
      </c>
      <c r="D696" s="308" t="s">
        <v>1853</v>
      </c>
      <c r="E696" s="308" t="s">
        <v>2119</v>
      </c>
      <c r="F696" s="307" t="s">
        <v>1907</v>
      </c>
      <c r="G696" s="327" t="s">
        <v>1908</v>
      </c>
      <c r="H696" s="335" t="s">
        <v>1909</v>
      </c>
      <c r="I696" s="308" t="s">
        <v>1858</v>
      </c>
      <c r="J696" s="308" t="s">
        <v>1859</v>
      </c>
      <c r="K696" s="308">
        <v>801116</v>
      </c>
      <c r="L696" s="306" t="s">
        <v>1860</v>
      </c>
      <c r="M696" s="306" t="s">
        <v>59</v>
      </c>
      <c r="N696" s="306" t="s">
        <v>60</v>
      </c>
      <c r="O696" s="308" t="s">
        <v>1910</v>
      </c>
      <c r="P696" s="329" t="s">
        <v>2138</v>
      </c>
      <c r="Q696" s="315">
        <v>4532000</v>
      </c>
      <c r="R696" s="333">
        <v>1</v>
      </c>
      <c r="S696" s="312">
        <v>27192000</v>
      </c>
      <c r="T696" s="306" t="s">
        <v>900</v>
      </c>
      <c r="U696" s="306" t="s">
        <v>1906</v>
      </c>
      <c r="V696" s="313" t="s">
        <v>308</v>
      </c>
      <c r="W696" s="314">
        <v>6</v>
      </c>
      <c r="X696" s="329" t="s">
        <v>2139</v>
      </c>
      <c r="Y696" s="313">
        <v>43104</v>
      </c>
      <c r="Z696" s="315">
        <v>27192000</v>
      </c>
      <c r="AA696" s="316" t="s">
        <v>63</v>
      </c>
      <c r="AB696" s="317">
        <v>417</v>
      </c>
      <c r="AC696" s="313">
        <v>43111</v>
      </c>
      <c r="AD696" s="312">
        <v>27192000</v>
      </c>
      <c r="AE696" s="318">
        <f t="shared" si="77"/>
        <v>0</v>
      </c>
      <c r="AF696" s="317">
        <v>353</v>
      </c>
      <c r="AG696" s="313">
        <v>43123</v>
      </c>
      <c r="AH696" s="312">
        <v>27192000</v>
      </c>
      <c r="AI696" s="306" t="s">
        <v>2140</v>
      </c>
      <c r="AJ696" s="306">
        <v>351</v>
      </c>
      <c r="AK696" s="318">
        <f t="shared" si="80"/>
        <v>0</v>
      </c>
      <c r="AL696" s="312">
        <f t="shared" si="82"/>
        <v>9970400</v>
      </c>
      <c r="AM696" s="312">
        <f t="shared" si="78"/>
        <v>17221600</v>
      </c>
      <c r="AN696" s="306" t="s">
        <v>1863</v>
      </c>
      <c r="AO696" s="312">
        <f t="shared" si="79"/>
        <v>0</v>
      </c>
      <c r="AP696" s="306"/>
      <c r="AQ696" s="306"/>
      <c r="AR696" s="306"/>
      <c r="AS696" s="306"/>
      <c r="AT696" s="306"/>
    </row>
    <row r="697" spans="1:46" ht="140.25" x14ac:dyDescent="0.25">
      <c r="A697" s="306">
        <v>102</v>
      </c>
      <c r="B697" s="306" t="str">
        <f t="shared" si="76"/>
        <v>3075-102</v>
      </c>
      <c r="C697" s="307" t="s">
        <v>1852</v>
      </c>
      <c r="D697" s="308" t="s">
        <v>1853</v>
      </c>
      <c r="E697" s="308" t="s">
        <v>2119</v>
      </c>
      <c r="F697" s="307" t="s">
        <v>1907</v>
      </c>
      <c r="G697" s="327" t="s">
        <v>1908</v>
      </c>
      <c r="H697" s="335" t="s">
        <v>1909</v>
      </c>
      <c r="I697" s="308" t="s">
        <v>1858</v>
      </c>
      <c r="J697" s="308" t="s">
        <v>1859</v>
      </c>
      <c r="K697" s="308">
        <v>801116</v>
      </c>
      <c r="L697" s="306" t="s">
        <v>1860</v>
      </c>
      <c r="M697" s="306" t="s">
        <v>59</v>
      </c>
      <c r="N697" s="306" t="s">
        <v>60</v>
      </c>
      <c r="O697" s="308" t="s">
        <v>1910</v>
      </c>
      <c r="P697" s="329" t="s">
        <v>2138</v>
      </c>
      <c r="Q697" s="315">
        <v>5036700</v>
      </c>
      <c r="R697" s="333">
        <v>1</v>
      </c>
      <c r="S697" s="312">
        <v>30220200</v>
      </c>
      <c r="T697" s="306" t="s">
        <v>900</v>
      </c>
      <c r="U697" s="306" t="s">
        <v>1906</v>
      </c>
      <c r="V697" s="313" t="s">
        <v>308</v>
      </c>
      <c r="W697" s="314">
        <v>6</v>
      </c>
      <c r="X697" s="329" t="s">
        <v>2141</v>
      </c>
      <c r="Y697" s="313">
        <v>43104</v>
      </c>
      <c r="Z697" s="315">
        <v>30220200</v>
      </c>
      <c r="AA697" s="316" t="s">
        <v>63</v>
      </c>
      <c r="AB697" s="317">
        <v>376</v>
      </c>
      <c r="AC697" s="313">
        <v>43110</v>
      </c>
      <c r="AD697" s="312">
        <v>30220200</v>
      </c>
      <c r="AE697" s="318">
        <f t="shared" si="77"/>
        <v>0</v>
      </c>
      <c r="AF697" s="317">
        <v>339</v>
      </c>
      <c r="AG697" s="313">
        <v>43123</v>
      </c>
      <c r="AH697" s="312">
        <v>30220200</v>
      </c>
      <c r="AI697" s="306" t="s">
        <v>2142</v>
      </c>
      <c r="AJ697" s="306">
        <v>344</v>
      </c>
      <c r="AK697" s="318">
        <f t="shared" si="80"/>
        <v>0</v>
      </c>
      <c r="AL697" s="312">
        <f t="shared" si="82"/>
        <v>10912850</v>
      </c>
      <c r="AM697" s="312">
        <f t="shared" si="78"/>
        <v>19307350</v>
      </c>
      <c r="AN697" s="306" t="s">
        <v>1863</v>
      </c>
      <c r="AO697" s="312">
        <f t="shared" si="79"/>
        <v>0</v>
      </c>
      <c r="AP697" s="306"/>
      <c r="AQ697" s="306"/>
      <c r="AR697" s="306"/>
      <c r="AS697" s="306"/>
      <c r="AT697" s="306"/>
    </row>
    <row r="698" spans="1:46" ht="140.25" x14ac:dyDescent="0.25">
      <c r="A698" s="306">
        <v>103</v>
      </c>
      <c r="B698" s="306" t="str">
        <f t="shared" si="76"/>
        <v>3075-103</v>
      </c>
      <c r="C698" s="307" t="s">
        <v>1852</v>
      </c>
      <c r="D698" s="308" t="s">
        <v>1853</v>
      </c>
      <c r="E698" s="308" t="s">
        <v>2119</v>
      </c>
      <c r="F698" s="307" t="s">
        <v>1907</v>
      </c>
      <c r="G698" s="327" t="s">
        <v>1908</v>
      </c>
      <c r="H698" s="335" t="s">
        <v>1909</v>
      </c>
      <c r="I698" s="308" t="s">
        <v>1858</v>
      </c>
      <c r="J698" s="308" t="s">
        <v>1859</v>
      </c>
      <c r="K698" s="308">
        <v>801116</v>
      </c>
      <c r="L698" s="306" t="s">
        <v>1860</v>
      </c>
      <c r="M698" s="306" t="s">
        <v>59</v>
      </c>
      <c r="N698" s="306" t="s">
        <v>60</v>
      </c>
      <c r="O698" s="308" t="s">
        <v>1910</v>
      </c>
      <c r="P698" s="329" t="s">
        <v>2138</v>
      </c>
      <c r="Q698" s="315">
        <v>5253000</v>
      </c>
      <c r="R698" s="333">
        <v>1</v>
      </c>
      <c r="S698" s="312">
        <v>31518000</v>
      </c>
      <c r="T698" s="306" t="s">
        <v>900</v>
      </c>
      <c r="U698" s="306" t="s">
        <v>1906</v>
      </c>
      <c r="V698" s="313" t="s">
        <v>308</v>
      </c>
      <c r="W698" s="314">
        <v>6</v>
      </c>
      <c r="X698" s="329" t="s">
        <v>2143</v>
      </c>
      <c r="Y698" s="313">
        <v>43104</v>
      </c>
      <c r="Z698" s="315">
        <v>31518000</v>
      </c>
      <c r="AA698" s="316" t="s">
        <v>63</v>
      </c>
      <c r="AB698" s="317">
        <v>375</v>
      </c>
      <c r="AC698" s="313">
        <v>43110</v>
      </c>
      <c r="AD698" s="312">
        <v>31518000</v>
      </c>
      <c r="AE698" s="318">
        <f t="shared" si="77"/>
        <v>0</v>
      </c>
      <c r="AF698" s="317">
        <v>414</v>
      </c>
      <c r="AG698" s="313">
        <v>43124</v>
      </c>
      <c r="AH698" s="312">
        <v>31518000</v>
      </c>
      <c r="AI698" s="306" t="s">
        <v>2144</v>
      </c>
      <c r="AJ698" s="306">
        <v>335</v>
      </c>
      <c r="AK698" s="318">
        <f t="shared" si="80"/>
        <v>0</v>
      </c>
      <c r="AL698" s="312">
        <f t="shared" si="82"/>
        <v>10506000</v>
      </c>
      <c r="AM698" s="312">
        <f t="shared" si="78"/>
        <v>21012000</v>
      </c>
      <c r="AN698" s="306" t="s">
        <v>1863</v>
      </c>
      <c r="AO698" s="312">
        <f t="shared" si="79"/>
        <v>0</v>
      </c>
      <c r="AP698" s="306"/>
      <c r="AQ698" s="306"/>
      <c r="AR698" s="306"/>
      <c r="AS698" s="306"/>
      <c r="AT698" s="306"/>
    </row>
    <row r="699" spans="1:46" ht="114.75" x14ac:dyDescent="0.25">
      <c r="A699" s="306">
        <v>104</v>
      </c>
      <c r="B699" s="306" t="str">
        <f t="shared" si="76"/>
        <v>3075-104</v>
      </c>
      <c r="C699" s="307" t="s">
        <v>1852</v>
      </c>
      <c r="D699" s="308" t="s">
        <v>1853</v>
      </c>
      <c r="E699" s="308" t="s">
        <v>2119</v>
      </c>
      <c r="F699" s="307" t="s">
        <v>1907</v>
      </c>
      <c r="G699" s="327" t="s">
        <v>1908</v>
      </c>
      <c r="H699" s="335" t="s">
        <v>1909</v>
      </c>
      <c r="I699" s="308" t="s">
        <v>1858</v>
      </c>
      <c r="J699" s="308" t="s">
        <v>1859</v>
      </c>
      <c r="K699" s="308">
        <v>801116</v>
      </c>
      <c r="L699" s="306" t="s">
        <v>1860</v>
      </c>
      <c r="M699" s="306" t="s">
        <v>59</v>
      </c>
      <c r="N699" s="306" t="s">
        <v>60</v>
      </c>
      <c r="O699" s="308" t="s">
        <v>1910</v>
      </c>
      <c r="P699" s="329" t="s">
        <v>2145</v>
      </c>
      <c r="Q699" s="315">
        <v>3326900</v>
      </c>
      <c r="R699" s="333">
        <v>1</v>
      </c>
      <c r="S699" s="312">
        <v>19961400</v>
      </c>
      <c r="T699" s="306" t="s">
        <v>934</v>
      </c>
      <c r="U699" s="306" t="s">
        <v>1906</v>
      </c>
      <c r="V699" s="313" t="s">
        <v>308</v>
      </c>
      <c r="W699" s="314">
        <v>6</v>
      </c>
      <c r="X699" s="329" t="s">
        <v>2146</v>
      </c>
      <c r="Y699" s="313">
        <v>43104</v>
      </c>
      <c r="Z699" s="315">
        <v>19961400</v>
      </c>
      <c r="AA699" s="316" t="s">
        <v>63</v>
      </c>
      <c r="AB699" s="317">
        <v>437</v>
      </c>
      <c r="AC699" s="313">
        <v>43111</v>
      </c>
      <c r="AD699" s="312">
        <v>19961400</v>
      </c>
      <c r="AE699" s="318">
        <f t="shared" si="77"/>
        <v>0</v>
      </c>
      <c r="AF699" s="317">
        <v>449</v>
      </c>
      <c r="AG699" s="313">
        <v>43125</v>
      </c>
      <c r="AH699" s="312">
        <v>19961400</v>
      </c>
      <c r="AI699" s="306" t="s">
        <v>2147</v>
      </c>
      <c r="AJ699" s="306">
        <v>385</v>
      </c>
      <c r="AK699" s="318">
        <f t="shared" si="80"/>
        <v>0</v>
      </c>
      <c r="AL699" s="312">
        <f t="shared" si="82"/>
        <v>7208283</v>
      </c>
      <c r="AM699" s="312">
        <f t="shared" si="78"/>
        <v>12753117</v>
      </c>
      <c r="AN699" s="306" t="s">
        <v>1863</v>
      </c>
      <c r="AO699" s="312">
        <f t="shared" si="79"/>
        <v>0</v>
      </c>
      <c r="AP699" s="306"/>
      <c r="AQ699" s="306"/>
      <c r="AR699" s="306"/>
      <c r="AS699" s="306"/>
      <c r="AT699" s="306"/>
    </row>
    <row r="700" spans="1:46" ht="140.25" x14ac:dyDescent="0.25">
      <c r="A700" s="306">
        <v>105</v>
      </c>
      <c r="B700" s="306" t="str">
        <f t="shared" si="76"/>
        <v>3075-105</v>
      </c>
      <c r="C700" s="307" t="s">
        <v>1852</v>
      </c>
      <c r="D700" s="308" t="s">
        <v>1853</v>
      </c>
      <c r="E700" s="308" t="s">
        <v>2119</v>
      </c>
      <c r="F700" s="307" t="s">
        <v>1907</v>
      </c>
      <c r="G700" s="327" t="s">
        <v>1908</v>
      </c>
      <c r="H700" s="335" t="s">
        <v>1909</v>
      </c>
      <c r="I700" s="308" t="s">
        <v>1858</v>
      </c>
      <c r="J700" s="308" t="s">
        <v>1859</v>
      </c>
      <c r="K700" s="308">
        <v>801116</v>
      </c>
      <c r="L700" s="306" t="s">
        <v>1860</v>
      </c>
      <c r="M700" s="306" t="s">
        <v>59</v>
      </c>
      <c r="N700" s="306" t="s">
        <v>60</v>
      </c>
      <c r="O700" s="308" t="s">
        <v>1910</v>
      </c>
      <c r="P700" s="329" t="s">
        <v>2138</v>
      </c>
      <c r="Q700" s="315">
        <v>7210000</v>
      </c>
      <c r="R700" s="333">
        <v>1</v>
      </c>
      <c r="S700" s="312">
        <v>43260000</v>
      </c>
      <c r="T700" s="306" t="s">
        <v>900</v>
      </c>
      <c r="U700" s="306" t="s">
        <v>1906</v>
      </c>
      <c r="V700" s="313" t="s">
        <v>308</v>
      </c>
      <c r="W700" s="314">
        <v>6</v>
      </c>
      <c r="X700" s="329" t="s">
        <v>2148</v>
      </c>
      <c r="Y700" s="313">
        <v>43104</v>
      </c>
      <c r="Z700" s="315">
        <v>43260000</v>
      </c>
      <c r="AA700" s="316" t="s">
        <v>63</v>
      </c>
      <c r="AB700" s="317">
        <v>467</v>
      </c>
      <c r="AC700" s="313">
        <v>43112</v>
      </c>
      <c r="AD700" s="312">
        <v>43260000</v>
      </c>
      <c r="AE700" s="318">
        <f t="shared" si="77"/>
        <v>0</v>
      </c>
      <c r="AF700" s="317">
        <v>425</v>
      </c>
      <c r="AG700" s="313">
        <v>43124</v>
      </c>
      <c r="AH700" s="312">
        <v>43260000</v>
      </c>
      <c r="AI700" s="306" t="s">
        <v>2149</v>
      </c>
      <c r="AJ700" s="306">
        <v>367</v>
      </c>
      <c r="AK700" s="318">
        <f t="shared" si="80"/>
        <v>0</v>
      </c>
      <c r="AL700" s="312">
        <f t="shared" si="82"/>
        <v>15862000</v>
      </c>
      <c r="AM700" s="312">
        <f t="shared" si="78"/>
        <v>27398000</v>
      </c>
      <c r="AN700" s="306" t="s">
        <v>1863</v>
      </c>
      <c r="AO700" s="312">
        <f t="shared" si="79"/>
        <v>0</v>
      </c>
      <c r="AP700" s="306"/>
      <c r="AQ700" s="306"/>
      <c r="AR700" s="306"/>
      <c r="AS700" s="306"/>
      <c r="AT700" s="306"/>
    </row>
    <row r="701" spans="1:46" ht="140.25" x14ac:dyDescent="0.25">
      <c r="A701" s="306">
        <v>106</v>
      </c>
      <c r="B701" s="306" t="str">
        <f t="shared" si="76"/>
        <v>3075-106</v>
      </c>
      <c r="C701" s="307" t="s">
        <v>1852</v>
      </c>
      <c r="D701" s="308" t="s">
        <v>1853</v>
      </c>
      <c r="E701" s="308" t="s">
        <v>2119</v>
      </c>
      <c r="F701" s="307" t="s">
        <v>1907</v>
      </c>
      <c r="G701" s="327" t="s">
        <v>1908</v>
      </c>
      <c r="H701" s="335" t="s">
        <v>1909</v>
      </c>
      <c r="I701" s="308" t="s">
        <v>1858</v>
      </c>
      <c r="J701" s="308" t="s">
        <v>1859</v>
      </c>
      <c r="K701" s="308">
        <v>801116</v>
      </c>
      <c r="L701" s="306" t="s">
        <v>1860</v>
      </c>
      <c r="M701" s="306" t="s">
        <v>59</v>
      </c>
      <c r="N701" s="306" t="s">
        <v>60</v>
      </c>
      <c r="O701" s="308" t="s">
        <v>1910</v>
      </c>
      <c r="P701" s="329" t="s">
        <v>2138</v>
      </c>
      <c r="Q701" s="315">
        <v>6180000</v>
      </c>
      <c r="R701" s="333">
        <v>1</v>
      </c>
      <c r="S701" s="312">
        <v>37080000</v>
      </c>
      <c r="T701" s="306" t="s">
        <v>900</v>
      </c>
      <c r="U701" s="306" t="s">
        <v>1906</v>
      </c>
      <c r="V701" s="313" t="s">
        <v>308</v>
      </c>
      <c r="W701" s="314">
        <v>6</v>
      </c>
      <c r="X701" s="329" t="s">
        <v>2150</v>
      </c>
      <c r="Y701" s="313">
        <v>43105</v>
      </c>
      <c r="Z701" s="315">
        <v>37080000</v>
      </c>
      <c r="AA701" s="316" t="s">
        <v>63</v>
      </c>
      <c r="AB701" s="317">
        <v>456</v>
      </c>
      <c r="AC701" s="313">
        <v>43111</v>
      </c>
      <c r="AD701" s="312">
        <v>37080000</v>
      </c>
      <c r="AE701" s="318">
        <f t="shared" si="77"/>
        <v>0</v>
      </c>
      <c r="AF701" s="317">
        <v>335</v>
      </c>
      <c r="AG701" s="313">
        <v>43123</v>
      </c>
      <c r="AH701" s="312">
        <v>37080000</v>
      </c>
      <c r="AI701" s="306" t="s">
        <v>2151</v>
      </c>
      <c r="AJ701" s="306">
        <v>340</v>
      </c>
      <c r="AK701" s="318">
        <f t="shared" si="80"/>
        <v>0</v>
      </c>
      <c r="AL701" s="312">
        <f t="shared" si="82"/>
        <v>13596000</v>
      </c>
      <c r="AM701" s="312">
        <f t="shared" si="78"/>
        <v>23484000</v>
      </c>
      <c r="AN701" s="306" t="s">
        <v>1863</v>
      </c>
      <c r="AO701" s="312">
        <f t="shared" si="79"/>
        <v>0</v>
      </c>
      <c r="AP701" s="306"/>
      <c r="AQ701" s="306"/>
      <c r="AR701" s="306"/>
      <c r="AS701" s="306"/>
      <c r="AT701" s="306"/>
    </row>
    <row r="702" spans="1:46" ht="140.25" x14ac:dyDescent="0.25">
      <c r="A702" s="306">
        <v>107</v>
      </c>
      <c r="B702" s="306" t="str">
        <f t="shared" si="76"/>
        <v>3075-107</v>
      </c>
      <c r="C702" s="307" t="s">
        <v>1852</v>
      </c>
      <c r="D702" s="308" t="s">
        <v>1853</v>
      </c>
      <c r="E702" s="308" t="s">
        <v>2119</v>
      </c>
      <c r="F702" s="307" t="s">
        <v>1907</v>
      </c>
      <c r="G702" s="327" t="s">
        <v>1908</v>
      </c>
      <c r="H702" s="335" t="s">
        <v>1909</v>
      </c>
      <c r="I702" s="308" t="s">
        <v>1858</v>
      </c>
      <c r="J702" s="308" t="s">
        <v>1859</v>
      </c>
      <c r="K702" s="308">
        <v>801116</v>
      </c>
      <c r="L702" s="306" t="s">
        <v>1860</v>
      </c>
      <c r="M702" s="306" t="s">
        <v>59</v>
      </c>
      <c r="N702" s="306" t="s">
        <v>60</v>
      </c>
      <c r="O702" s="308" t="s">
        <v>1910</v>
      </c>
      <c r="P702" s="329" t="s">
        <v>2152</v>
      </c>
      <c r="Q702" s="315">
        <v>1545000</v>
      </c>
      <c r="R702" s="333">
        <v>1</v>
      </c>
      <c r="S702" s="312">
        <v>9270000</v>
      </c>
      <c r="T702" s="306" t="s">
        <v>934</v>
      </c>
      <c r="U702" s="306" t="s">
        <v>1906</v>
      </c>
      <c r="V702" s="313" t="s">
        <v>308</v>
      </c>
      <c r="W702" s="314">
        <v>6</v>
      </c>
      <c r="X702" s="329" t="s">
        <v>2153</v>
      </c>
      <c r="Y702" s="313">
        <v>43104</v>
      </c>
      <c r="Z702" s="315">
        <v>9270000</v>
      </c>
      <c r="AA702" s="316" t="s">
        <v>63</v>
      </c>
      <c r="AB702" s="317">
        <v>439</v>
      </c>
      <c r="AC702" s="313">
        <v>43111</v>
      </c>
      <c r="AD702" s="312">
        <v>9270000</v>
      </c>
      <c r="AE702" s="318">
        <f t="shared" si="77"/>
        <v>0</v>
      </c>
      <c r="AF702" s="317">
        <v>290</v>
      </c>
      <c r="AG702" s="313">
        <v>43122</v>
      </c>
      <c r="AH702" s="312">
        <v>9270000</v>
      </c>
      <c r="AI702" s="306" t="s">
        <v>2154</v>
      </c>
      <c r="AJ702" s="306">
        <v>259</v>
      </c>
      <c r="AK702" s="318">
        <f t="shared" si="80"/>
        <v>0</v>
      </c>
      <c r="AL702" s="312">
        <f t="shared" si="82"/>
        <v>3553500</v>
      </c>
      <c r="AM702" s="312">
        <f t="shared" si="78"/>
        <v>5716500</v>
      </c>
      <c r="AN702" s="306" t="s">
        <v>1863</v>
      </c>
      <c r="AO702" s="312">
        <f t="shared" si="79"/>
        <v>0</v>
      </c>
      <c r="AP702" s="306"/>
      <c r="AQ702" s="306"/>
      <c r="AR702" s="306"/>
      <c r="AS702" s="306"/>
      <c r="AT702" s="306"/>
    </row>
    <row r="703" spans="1:46" ht="127.5" x14ac:dyDescent="0.25">
      <c r="A703" s="306">
        <v>108</v>
      </c>
      <c r="B703" s="306" t="str">
        <f t="shared" si="76"/>
        <v>3075-108</v>
      </c>
      <c r="C703" s="307" t="s">
        <v>1852</v>
      </c>
      <c r="D703" s="308" t="s">
        <v>1853</v>
      </c>
      <c r="E703" s="308" t="s">
        <v>2119</v>
      </c>
      <c r="F703" s="307" t="s">
        <v>1907</v>
      </c>
      <c r="G703" s="327" t="s">
        <v>1908</v>
      </c>
      <c r="H703" s="335" t="s">
        <v>1909</v>
      </c>
      <c r="I703" s="308" t="s">
        <v>1858</v>
      </c>
      <c r="J703" s="308" t="s">
        <v>1859</v>
      </c>
      <c r="K703" s="308">
        <v>801116</v>
      </c>
      <c r="L703" s="306" t="s">
        <v>1860</v>
      </c>
      <c r="M703" s="306" t="s">
        <v>59</v>
      </c>
      <c r="N703" s="306" t="s">
        <v>60</v>
      </c>
      <c r="O703" s="308" t="s">
        <v>1910</v>
      </c>
      <c r="P703" s="329" t="s">
        <v>2155</v>
      </c>
      <c r="Q703" s="315">
        <v>1751000</v>
      </c>
      <c r="R703" s="333">
        <v>4</v>
      </c>
      <c r="S703" s="312">
        <v>10506000</v>
      </c>
      <c r="T703" s="306"/>
      <c r="U703" s="306" t="s">
        <v>1906</v>
      </c>
      <c r="V703" s="320" t="s">
        <v>302</v>
      </c>
      <c r="W703" s="314">
        <v>6</v>
      </c>
      <c r="X703" s="329"/>
      <c r="Y703" s="313"/>
      <c r="Z703" s="315"/>
      <c r="AA703" s="316"/>
      <c r="AB703" s="317"/>
      <c r="AC703" s="313"/>
      <c r="AD703" s="312"/>
      <c r="AE703" s="318">
        <f t="shared" si="77"/>
        <v>10506000</v>
      </c>
      <c r="AF703" s="317"/>
      <c r="AG703" s="313"/>
      <c r="AH703" s="312"/>
      <c r="AI703" s="306"/>
      <c r="AJ703" s="306"/>
      <c r="AK703" s="318">
        <f t="shared" si="80"/>
        <v>0</v>
      </c>
      <c r="AL703" s="312">
        <v>0</v>
      </c>
      <c r="AM703" s="312">
        <f t="shared" si="78"/>
        <v>0</v>
      </c>
      <c r="AN703" s="306" t="s">
        <v>1863</v>
      </c>
      <c r="AO703" s="312">
        <f t="shared" si="79"/>
        <v>10506000</v>
      </c>
      <c r="AP703" s="306"/>
      <c r="AQ703" s="306"/>
      <c r="AR703" s="306"/>
      <c r="AS703" s="306"/>
      <c r="AT703" s="306"/>
    </row>
    <row r="704" spans="1:46" ht="127.5" x14ac:dyDescent="0.25">
      <c r="A704" s="306">
        <v>109</v>
      </c>
      <c r="B704" s="306" t="str">
        <f t="shared" si="76"/>
        <v>3075-109</v>
      </c>
      <c r="C704" s="307" t="s">
        <v>1852</v>
      </c>
      <c r="D704" s="308" t="s">
        <v>1853</v>
      </c>
      <c r="E704" s="308" t="s">
        <v>2119</v>
      </c>
      <c r="F704" s="307" t="s">
        <v>1907</v>
      </c>
      <c r="G704" s="327" t="s">
        <v>1908</v>
      </c>
      <c r="H704" s="335" t="s">
        <v>1909</v>
      </c>
      <c r="I704" s="308" t="s">
        <v>1858</v>
      </c>
      <c r="J704" s="308" t="s">
        <v>1859</v>
      </c>
      <c r="K704" s="308">
        <v>801116</v>
      </c>
      <c r="L704" s="306" t="s">
        <v>1860</v>
      </c>
      <c r="M704" s="306" t="s">
        <v>59</v>
      </c>
      <c r="N704" s="306" t="s">
        <v>60</v>
      </c>
      <c r="O704" s="308" t="s">
        <v>1910</v>
      </c>
      <c r="P704" s="329" t="s">
        <v>2155</v>
      </c>
      <c r="Q704" s="315">
        <v>3326900</v>
      </c>
      <c r="R704" s="333">
        <v>1</v>
      </c>
      <c r="S704" s="312">
        <v>19961400</v>
      </c>
      <c r="T704" s="306"/>
      <c r="U704" s="306" t="s">
        <v>1906</v>
      </c>
      <c r="V704" s="320" t="s">
        <v>302</v>
      </c>
      <c r="W704" s="314">
        <v>6</v>
      </c>
      <c r="X704" s="329" t="s">
        <v>2156</v>
      </c>
      <c r="Y704" s="313">
        <v>43104</v>
      </c>
      <c r="Z704" s="315">
        <v>19961400</v>
      </c>
      <c r="AA704" s="316" t="s">
        <v>63</v>
      </c>
      <c r="AB704" s="317"/>
      <c r="AC704" s="313"/>
      <c r="AD704" s="312"/>
      <c r="AE704" s="318">
        <f t="shared" si="77"/>
        <v>0</v>
      </c>
      <c r="AF704" s="317"/>
      <c r="AG704" s="313"/>
      <c r="AH704" s="312"/>
      <c r="AI704" s="306"/>
      <c r="AJ704" s="306"/>
      <c r="AK704" s="318">
        <f t="shared" si="80"/>
        <v>0</v>
      </c>
      <c r="AL704" s="312">
        <v>0</v>
      </c>
      <c r="AM704" s="312">
        <f t="shared" si="78"/>
        <v>0</v>
      </c>
      <c r="AN704" s="306" t="s">
        <v>1863</v>
      </c>
      <c r="AO704" s="312">
        <f t="shared" si="79"/>
        <v>19961400</v>
      </c>
      <c r="AP704" s="306"/>
      <c r="AQ704" s="306"/>
      <c r="AR704" s="306"/>
      <c r="AS704" s="306"/>
      <c r="AT704" s="306"/>
    </row>
    <row r="705" spans="1:46" ht="165.75" x14ac:dyDescent="0.25">
      <c r="A705" s="306">
        <v>110</v>
      </c>
      <c r="B705" s="306" t="str">
        <f t="shared" si="76"/>
        <v>3075-110</v>
      </c>
      <c r="C705" s="307" t="s">
        <v>1852</v>
      </c>
      <c r="D705" s="308" t="s">
        <v>1853</v>
      </c>
      <c r="E705" s="308" t="s">
        <v>2119</v>
      </c>
      <c r="F705" s="307" t="s">
        <v>1907</v>
      </c>
      <c r="G705" s="327" t="s">
        <v>1908</v>
      </c>
      <c r="H705" s="335" t="s">
        <v>1909</v>
      </c>
      <c r="I705" s="308" t="s">
        <v>1858</v>
      </c>
      <c r="J705" s="308" t="s">
        <v>1859</v>
      </c>
      <c r="K705" s="308">
        <v>801116</v>
      </c>
      <c r="L705" s="306" t="s">
        <v>1860</v>
      </c>
      <c r="M705" s="306" t="s">
        <v>59</v>
      </c>
      <c r="N705" s="306" t="s">
        <v>60</v>
      </c>
      <c r="O705" s="308" t="s">
        <v>1910</v>
      </c>
      <c r="P705" s="329" t="s">
        <v>2157</v>
      </c>
      <c r="Q705" s="315">
        <v>3399000</v>
      </c>
      <c r="R705" s="333">
        <v>5</v>
      </c>
      <c r="S705" s="312">
        <v>8232000</v>
      </c>
      <c r="T705" s="306" t="s">
        <v>934</v>
      </c>
      <c r="U705" s="306" t="s">
        <v>1906</v>
      </c>
      <c r="V705" s="313" t="s">
        <v>294</v>
      </c>
      <c r="W705" s="314">
        <v>6</v>
      </c>
      <c r="X705" s="329" t="s">
        <v>2158</v>
      </c>
      <c r="Y705" s="313">
        <v>43167</v>
      </c>
      <c r="Z705" s="315">
        <v>7200000</v>
      </c>
      <c r="AA705" s="316" t="s">
        <v>63</v>
      </c>
      <c r="AB705" s="317">
        <v>711</v>
      </c>
      <c r="AC705" s="313">
        <v>43168</v>
      </c>
      <c r="AD705" s="312">
        <v>7200000</v>
      </c>
      <c r="AE705" s="318">
        <f t="shared" si="77"/>
        <v>1032000</v>
      </c>
      <c r="AF705" s="317">
        <v>1639</v>
      </c>
      <c r="AG705" s="313">
        <v>43182</v>
      </c>
      <c r="AH705" s="312">
        <v>7200000</v>
      </c>
      <c r="AI705" s="306"/>
      <c r="AJ705" s="306"/>
      <c r="AK705" s="318">
        <f t="shared" si="80"/>
        <v>0</v>
      </c>
      <c r="AL705" s="312">
        <f>VLOOKUP(AB705,RP,13,FALSE)</f>
        <v>400000</v>
      </c>
      <c r="AM705" s="312">
        <f t="shared" si="78"/>
        <v>6800000</v>
      </c>
      <c r="AN705" s="306" t="s">
        <v>1863</v>
      </c>
      <c r="AO705" s="312">
        <f t="shared" si="79"/>
        <v>1032000</v>
      </c>
      <c r="AP705" s="306" t="s">
        <v>2159</v>
      </c>
      <c r="AQ705" s="313">
        <v>43167</v>
      </c>
      <c r="AR705" s="306" t="s">
        <v>1878</v>
      </c>
      <c r="AS705" s="313">
        <v>43167</v>
      </c>
      <c r="AT705" s="306" t="s">
        <v>2134</v>
      </c>
    </row>
    <row r="706" spans="1:46" ht="127.5" x14ac:dyDescent="0.25">
      <c r="A706" s="306">
        <v>111</v>
      </c>
      <c r="B706" s="306" t="str">
        <f t="shared" si="76"/>
        <v>3075-111</v>
      </c>
      <c r="C706" s="307" t="s">
        <v>1852</v>
      </c>
      <c r="D706" s="308" t="s">
        <v>1853</v>
      </c>
      <c r="E706" s="308" t="s">
        <v>2119</v>
      </c>
      <c r="F706" s="307" t="s">
        <v>1907</v>
      </c>
      <c r="G706" s="327" t="s">
        <v>1908</v>
      </c>
      <c r="H706" s="335" t="s">
        <v>1909</v>
      </c>
      <c r="I706" s="308" t="s">
        <v>1858</v>
      </c>
      <c r="J706" s="308" t="s">
        <v>1859</v>
      </c>
      <c r="K706" s="308">
        <v>801116</v>
      </c>
      <c r="L706" s="306" t="s">
        <v>1860</v>
      </c>
      <c r="M706" s="306" t="s">
        <v>59</v>
      </c>
      <c r="N706" s="306" t="s">
        <v>60</v>
      </c>
      <c r="O706" s="308" t="s">
        <v>1910</v>
      </c>
      <c r="P706" s="329" t="s">
        <v>2160</v>
      </c>
      <c r="Q706" s="315">
        <v>3553500</v>
      </c>
      <c r="R706" s="333">
        <v>4</v>
      </c>
      <c r="S706" s="312">
        <v>28428000</v>
      </c>
      <c r="T706" s="306"/>
      <c r="U706" s="306" t="s">
        <v>1906</v>
      </c>
      <c r="V706" s="320" t="s">
        <v>302</v>
      </c>
      <c r="W706" s="314">
        <v>6.5</v>
      </c>
      <c r="X706" s="329"/>
      <c r="Y706" s="313"/>
      <c r="Z706" s="315"/>
      <c r="AA706" s="316"/>
      <c r="AB706" s="317"/>
      <c r="AC706" s="313"/>
      <c r="AD706" s="312"/>
      <c r="AE706" s="318">
        <f t="shared" si="77"/>
        <v>28428000</v>
      </c>
      <c r="AF706" s="317"/>
      <c r="AG706" s="313"/>
      <c r="AH706" s="312"/>
      <c r="AI706" s="306"/>
      <c r="AJ706" s="306"/>
      <c r="AK706" s="318">
        <f t="shared" si="80"/>
        <v>0</v>
      </c>
      <c r="AL706" s="312">
        <v>0</v>
      </c>
      <c r="AM706" s="312">
        <f t="shared" si="78"/>
        <v>0</v>
      </c>
      <c r="AN706" s="306" t="s">
        <v>1863</v>
      </c>
      <c r="AO706" s="312">
        <f t="shared" si="79"/>
        <v>28428000</v>
      </c>
      <c r="AP706" s="306"/>
      <c r="AQ706" s="306"/>
      <c r="AR706" s="306"/>
      <c r="AS706" s="306"/>
      <c r="AT706" s="306"/>
    </row>
    <row r="707" spans="1:46" ht="127.5" x14ac:dyDescent="0.25">
      <c r="A707" s="306">
        <v>112</v>
      </c>
      <c r="B707" s="306" t="str">
        <f t="shared" si="76"/>
        <v>3075-112</v>
      </c>
      <c r="C707" s="307" t="s">
        <v>1852</v>
      </c>
      <c r="D707" s="308" t="s">
        <v>1853</v>
      </c>
      <c r="E707" s="308" t="s">
        <v>2119</v>
      </c>
      <c r="F707" s="307" t="s">
        <v>1907</v>
      </c>
      <c r="G707" s="327" t="s">
        <v>1908</v>
      </c>
      <c r="H707" s="335" t="s">
        <v>1909</v>
      </c>
      <c r="I707" s="308" t="s">
        <v>1858</v>
      </c>
      <c r="J707" s="308" t="s">
        <v>1859</v>
      </c>
      <c r="K707" s="308">
        <v>801116</v>
      </c>
      <c r="L707" s="306" t="s">
        <v>1860</v>
      </c>
      <c r="M707" s="306" t="s">
        <v>59</v>
      </c>
      <c r="N707" s="306" t="s">
        <v>60</v>
      </c>
      <c r="O707" s="308" t="s">
        <v>1910</v>
      </c>
      <c r="P707" s="329" t="s">
        <v>2161</v>
      </c>
      <c r="Q707" s="315">
        <v>4120000</v>
      </c>
      <c r="R707" s="333">
        <v>2</v>
      </c>
      <c r="S707" s="312">
        <v>24720000</v>
      </c>
      <c r="T707" s="306"/>
      <c r="U707" s="306" t="s">
        <v>1906</v>
      </c>
      <c r="V707" s="320" t="s">
        <v>302</v>
      </c>
      <c r="W707" s="314">
        <v>6</v>
      </c>
      <c r="X707" s="329"/>
      <c r="Y707" s="313"/>
      <c r="Z707" s="315"/>
      <c r="AA707" s="316"/>
      <c r="AB707" s="317"/>
      <c r="AC707" s="313"/>
      <c r="AD707" s="312"/>
      <c r="AE707" s="318">
        <f t="shared" si="77"/>
        <v>24720000</v>
      </c>
      <c r="AF707" s="317"/>
      <c r="AG707" s="313"/>
      <c r="AH707" s="312"/>
      <c r="AI707" s="306"/>
      <c r="AJ707" s="306"/>
      <c r="AK707" s="318">
        <f t="shared" si="80"/>
        <v>0</v>
      </c>
      <c r="AL707" s="312">
        <v>0</v>
      </c>
      <c r="AM707" s="312">
        <f t="shared" si="78"/>
        <v>0</v>
      </c>
      <c r="AN707" s="306" t="s">
        <v>1863</v>
      </c>
      <c r="AO707" s="312">
        <f t="shared" si="79"/>
        <v>24720000</v>
      </c>
      <c r="AP707" s="306"/>
      <c r="AQ707" s="306"/>
      <c r="AR707" s="306"/>
      <c r="AS707" s="306"/>
      <c r="AT707" s="306"/>
    </row>
    <row r="708" spans="1:46" ht="140.25" x14ac:dyDescent="0.25">
      <c r="A708" s="306">
        <v>113</v>
      </c>
      <c r="B708" s="306" t="str">
        <f t="shared" si="76"/>
        <v>3075-113</v>
      </c>
      <c r="C708" s="307" t="s">
        <v>1852</v>
      </c>
      <c r="D708" s="308" t="s">
        <v>1853</v>
      </c>
      <c r="E708" s="308" t="s">
        <v>2119</v>
      </c>
      <c r="F708" s="307" t="s">
        <v>1907</v>
      </c>
      <c r="G708" s="327" t="s">
        <v>1908</v>
      </c>
      <c r="H708" s="335" t="s">
        <v>1909</v>
      </c>
      <c r="I708" s="308" t="s">
        <v>1858</v>
      </c>
      <c r="J708" s="308" t="s">
        <v>1859</v>
      </c>
      <c r="K708" s="308">
        <v>801116</v>
      </c>
      <c r="L708" s="306" t="s">
        <v>1860</v>
      </c>
      <c r="M708" s="306" t="s">
        <v>59</v>
      </c>
      <c r="N708" s="306" t="s">
        <v>60</v>
      </c>
      <c r="O708" s="308" t="s">
        <v>1910</v>
      </c>
      <c r="P708" s="329" t="s">
        <v>2162</v>
      </c>
      <c r="Q708" s="315">
        <v>4532000</v>
      </c>
      <c r="R708" s="333">
        <v>1</v>
      </c>
      <c r="S708" s="312">
        <v>49852000</v>
      </c>
      <c r="T708" s="306" t="s">
        <v>900</v>
      </c>
      <c r="U708" s="306" t="s">
        <v>1906</v>
      </c>
      <c r="V708" s="313" t="s">
        <v>308</v>
      </c>
      <c r="W708" s="314">
        <v>11</v>
      </c>
      <c r="X708" s="329" t="s">
        <v>2163</v>
      </c>
      <c r="Y708" s="313">
        <v>43104</v>
      </c>
      <c r="Z708" s="315">
        <v>49852000</v>
      </c>
      <c r="AA708" s="316" t="s">
        <v>63</v>
      </c>
      <c r="AB708" s="317">
        <v>459</v>
      </c>
      <c r="AC708" s="313">
        <v>43111</v>
      </c>
      <c r="AD708" s="312">
        <v>49852000</v>
      </c>
      <c r="AE708" s="318">
        <f t="shared" si="77"/>
        <v>0</v>
      </c>
      <c r="AF708" s="317">
        <v>208</v>
      </c>
      <c r="AG708" s="313">
        <v>43118</v>
      </c>
      <c r="AH708" s="312">
        <v>49852000</v>
      </c>
      <c r="AI708" s="306" t="s">
        <v>2164</v>
      </c>
      <c r="AJ708" s="306">
        <v>171</v>
      </c>
      <c r="AK708" s="318">
        <f t="shared" si="80"/>
        <v>0</v>
      </c>
      <c r="AL708" s="312">
        <f>VLOOKUP(AB708,RP,13,FALSE)</f>
        <v>10876800</v>
      </c>
      <c r="AM708" s="312">
        <f t="shared" si="78"/>
        <v>38975200</v>
      </c>
      <c r="AN708" s="306" t="s">
        <v>1863</v>
      </c>
      <c r="AO708" s="312">
        <f t="shared" si="79"/>
        <v>0</v>
      </c>
      <c r="AP708" s="306"/>
      <c r="AQ708" s="306"/>
      <c r="AR708" s="306"/>
      <c r="AS708" s="306"/>
      <c r="AT708" s="306"/>
    </row>
    <row r="709" spans="1:46" ht="127.5" x14ac:dyDescent="0.25">
      <c r="A709" s="306">
        <v>114</v>
      </c>
      <c r="B709" s="306" t="str">
        <f t="shared" si="76"/>
        <v>3075-114</v>
      </c>
      <c r="C709" s="307" t="s">
        <v>1852</v>
      </c>
      <c r="D709" s="308" t="s">
        <v>1853</v>
      </c>
      <c r="E709" s="308" t="s">
        <v>2119</v>
      </c>
      <c r="F709" s="307" t="s">
        <v>1907</v>
      </c>
      <c r="G709" s="327" t="s">
        <v>1908</v>
      </c>
      <c r="H709" s="335" t="s">
        <v>1909</v>
      </c>
      <c r="I709" s="308" t="s">
        <v>1858</v>
      </c>
      <c r="J709" s="308" t="s">
        <v>1859</v>
      </c>
      <c r="K709" s="308">
        <v>801116</v>
      </c>
      <c r="L709" s="306" t="s">
        <v>1860</v>
      </c>
      <c r="M709" s="306" t="s">
        <v>59</v>
      </c>
      <c r="N709" s="306" t="s">
        <v>60</v>
      </c>
      <c r="O709" s="308" t="s">
        <v>1910</v>
      </c>
      <c r="P709" s="329" t="s">
        <v>2161</v>
      </c>
      <c r="Q709" s="315">
        <v>5253000</v>
      </c>
      <c r="R709" s="333">
        <v>9</v>
      </c>
      <c r="S709" s="312">
        <v>52610999.999999881</v>
      </c>
      <c r="T709" s="306"/>
      <c r="U709" s="306" t="s">
        <v>1906</v>
      </c>
      <c r="V709" s="320" t="s">
        <v>302</v>
      </c>
      <c r="W709" s="314">
        <v>6.444444444444442</v>
      </c>
      <c r="X709" s="329"/>
      <c r="Y709" s="313"/>
      <c r="Z709" s="315"/>
      <c r="AA709" s="316"/>
      <c r="AB709" s="317"/>
      <c r="AC709" s="313"/>
      <c r="AD709" s="312"/>
      <c r="AE709" s="318">
        <f t="shared" si="77"/>
        <v>52610999.999999881</v>
      </c>
      <c r="AF709" s="317"/>
      <c r="AG709" s="313"/>
      <c r="AH709" s="312"/>
      <c r="AI709" s="306"/>
      <c r="AJ709" s="306"/>
      <c r="AK709" s="318">
        <f t="shared" si="80"/>
        <v>0</v>
      </c>
      <c r="AL709" s="312">
        <v>0</v>
      </c>
      <c r="AM709" s="312">
        <f t="shared" si="78"/>
        <v>0</v>
      </c>
      <c r="AN709" s="306" t="s">
        <v>1863</v>
      </c>
      <c r="AO709" s="312">
        <f t="shared" si="79"/>
        <v>52610999.999999881</v>
      </c>
      <c r="AP709" s="306"/>
      <c r="AQ709" s="306"/>
      <c r="AR709" s="306"/>
      <c r="AS709" s="306"/>
      <c r="AT709" s="306"/>
    </row>
    <row r="710" spans="1:46" ht="127.5" x14ac:dyDescent="0.25">
      <c r="A710" s="306">
        <v>115</v>
      </c>
      <c r="B710" s="306" t="str">
        <f t="shared" si="76"/>
        <v>3075-115</v>
      </c>
      <c r="C710" s="307" t="s">
        <v>1852</v>
      </c>
      <c r="D710" s="308" t="s">
        <v>1853</v>
      </c>
      <c r="E710" s="308" t="s">
        <v>2119</v>
      </c>
      <c r="F710" s="307" t="s">
        <v>1907</v>
      </c>
      <c r="G710" s="327" t="s">
        <v>1908</v>
      </c>
      <c r="H710" s="335" t="s">
        <v>1909</v>
      </c>
      <c r="I710" s="308" t="s">
        <v>1858</v>
      </c>
      <c r="J710" s="308" t="s">
        <v>1859</v>
      </c>
      <c r="K710" s="308">
        <v>801116</v>
      </c>
      <c r="L710" s="306" t="s">
        <v>1860</v>
      </c>
      <c r="M710" s="306" t="s">
        <v>59</v>
      </c>
      <c r="N710" s="306" t="s">
        <v>60</v>
      </c>
      <c r="O710" s="308" t="s">
        <v>1910</v>
      </c>
      <c r="P710" s="329" t="s">
        <v>2161</v>
      </c>
      <c r="Q710" s="315">
        <v>5665000</v>
      </c>
      <c r="R710" s="333">
        <v>3</v>
      </c>
      <c r="S710" s="312">
        <v>33990000</v>
      </c>
      <c r="T710" s="306"/>
      <c r="U710" s="306" t="s">
        <v>1906</v>
      </c>
      <c r="V710" s="320" t="s">
        <v>302</v>
      </c>
      <c r="W710" s="314">
        <v>6</v>
      </c>
      <c r="X710" s="329"/>
      <c r="Y710" s="313"/>
      <c r="Z710" s="315"/>
      <c r="AA710" s="316"/>
      <c r="AB710" s="317"/>
      <c r="AC710" s="313"/>
      <c r="AD710" s="312"/>
      <c r="AE710" s="318">
        <f t="shared" si="77"/>
        <v>33990000</v>
      </c>
      <c r="AF710" s="317"/>
      <c r="AG710" s="313"/>
      <c r="AH710" s="312"/>
      <c r="AI710" s="306"/>
      <c r="AJ710" s="306"/>
      <c r="AK710" s="318">
        <f t="shared" si="80"/>
        <v>0</v>
      </c>
      <c r="AL710" s="312">
        <v>0</v>
      </c>
      <c r="AM710" s="312">
        <f t="shared" si="78"/>
        <v>0</v>
      </c>
      <c r="AN710" s="306" t="s">
        <v>1863</v>
      </c>
      <c r="AO710" s="312">
        <f t="shared" si="79"/>
        <v>33990000</v>
      </c>
      <c r="AP710" s="306"/>
      <c r="AQ710" s="306"/>
      <c r="AR710" s="306"/>
      <c r="AS710" s="306"/>
      <c r="AT710" s="306"/>
    </row>
    <row r="711" spans="1:46" ht="165.75" x14ac:dyDescent="0.25">
      <c r="A711" s="306">
        <v>116</v>
      </c>
      <c r="B711" s="306" t="str">
        <f t="shared" si="76"/>
        <v>3075-116</v>
      </c>
      <c r="C711" s="307" t="s">
        <v>1852</v>
      </c>
      <c r="D711" s="308" t="s">
        <v>1853</v>
      </c>
      <c r="E711" s="308" t="s">
        <v>2119</v>
      </c>
      <c r="F711" s="307" t="s">
        <v>1907</v>
      </c>
      <c r="G711" s="327" t="s">
        <v>1908</v>
      </c>
      <c r="H711" s="335" t="s">
        <v>1909</v>
      </c>
      <c r="I711" s="308" t="s">
        <v>1858</v>
      </c>
      <c r="J711" s="308" t="s">
        <v>1859</v>
      </c>
      <c r="K711" s="308">
        <v>801116</v>
      </c>
      <c r="L711" s="306" t="s">
        <v>1860</v>
      </c>
      <c r="M711" s="306" t="s">
        <v>59</v>
      </c>
      <c r="N711" s="306" t="s">
        <v>60</v>
      </c>
      <c r="O711" s="308" t="s">
        <v>1910</v>
      </c>
      <c r="P711" s="329" t="s">
        <v>2165</v>
      </c>
      <c r="Q711" s="315">
        <v>2472000</v>
      </c>
      <c r="R711" s="333">
        <v>1</v>
      </c>
      <c r="S711" s="312">
        <v>14832000</v>
      </c>
      <c r="T711" s="306" t="s">
        <v>900</v>
      </c>
      <c r="U711" s="306" t="s">
        <v>1906</v>
      </c>
      <c r="V711" s="313" t="s">
        <v>294</v>
      </c>
      <c r="W711" s="314">
        <v>6</v>
      </c>
      <c r="X711" s="329" t="s">
        <v>2166</v>
      </c>
      <c r="Y711" s="313">
        <v>43167</v>
      </c>
      <c r="Z711" s="315">
        <v>14670000</v>
      </c>
      <c r="AA711" s="316" t="s">
        <v>63</v>
      </c>
      <c r="AB711" s="317">
        <v>707</v>
      </c>
      <c r="AC711" s="313">
        <v>43168</v>
      </c>
      <c r="AD711" s="312">
        <v>14670000</v>
      </c>
      <c r="AE711" s="318">
        <f t="shared" si="77"/>
        <v>162000</v>
      </c>
      <c r="AF711" s="317">
        <v>1574</v>
      </c>
      <c r="AG711" s="313">
        <v>43173</v>
      </c>
      <c r="AH711" s="312">
        <v>14670000</v>
      </c>
      <c r="AI711" s="306"/>
      <c r="AJ711" s="306"/>
      <c r="AK711" s="318">
        <f t="shared" si="80"/>
        <v>0</v>
      </c>
      <c r="AL711" s="312">
        <f>VLOOKUP(AB711,RP,13,FALSE)</f>
        <v>2608000</v>
      </c>
      <c r="AM711" s="312">
        <f t="shared" si="78"/>
        <v>12062000</v>
      </c>
      <c r="AN711" s="306" t="s">
        <v>1863</v>
      </c>
      <c r="AO711" s="312">
        <f t="shared" si="79"/>
        <v>162000</v>
      </c>
      <c r="AP711" s="306" t="s">
        <v>2167</v>
      </c>
      <c r="AQ711" s="306"/>
      <c r="AR711" s="306"/>
      <c r="AS711" s="306"/>
      <c r="AT711" s="306"/>
    </row>
    <row r="712" spans="1:46" ht="127.5" x14ac:dyDescent="0.25">
      <c r="A712" s="306">
        <v>117</v>
      </c>
      <c r="B712" s="306" t="str">
        <f t="shared" si="76"/>
        <v>3075-117</v>
      </c>
      <c r="C712" s="307" t="s">
        <v>1852</v>
      </c>
      <c r="D712" s="308" t="s">
        <v>1853</v>
      </c>
      <c r="E712" s="308" t="s">
        <v>2119</v>
      </c>
      <c r="F712" s="307" t="s">
        <v>1907</v>
      </c>
      <c r="G712" s="327" t="s">
        <v>1908</v>
      </c>
      <c r="H712" s="335" t="s">
        <v>1909</v>
      </c>
      <c r="I712" s="308" t="s">
        <v>1858</v>
      </c>
      <c r="J712" s="308" t="s">
        <v>1859</v>
      </c>
      <c r="K712" s="308">
        <v>801116</v>
      </c>
      <c r="L712" s="306" t="s">
        <v>1860</v>
      </c>
      <c r="M712" s="306" t="s">
        <v>59</v>
      </c>
      <c r="N712" s="306" t="s">
        <v>60</v>
      </c>
      <c r="O712" s="308" t="s">
        <v>1910</v>
      </c>
      <c r="P712" s="329" t="s">
        <v>2161</v>
      </c>
      <c r="Q712" s="315">
        <v>3553500</v>
      </c>
      <c r="R712" s="333">
        <v>2</v>
      </c>
      <c r="S712" s="312">
        <v>42642000</v>
      </c>
      <c r="T712" s="306"/>
      <c r="U712" s="306" t="s">
        <v>1906</v>
      </c>
      <c r="V712" s="320" t="s">
        <v>302</v>
      </c>
      <c r="W712" s="314">
        <v>6</v>
      </c>
      <c r="X712" s="329"/>
      <c r="Y712" s="313"/>
      <c r="Z712" s="315"/>
      <c r="AA712" s="316"/>
      <c r="AB712" s="317"/>
      <c r="AC712" s="313"/>
      <c r="AD712" s="312"/>
      <c r="AE712" s="318">
        <f t="shared" si="77"/>
        <v>42642000</v>
      </c>
      <c r="AF712" s="317"/>
      <c r="AG712" s="313"/>
      <c r="AH712" s="312"/>
      <c r="AI712" s="306"/>
      <c r="AJ712" s="306"/>
      <c r="AK712" s="318">
        <f t="shared" si="80"/>
        <v>0</v>
      </c>
      <c r="AL712" s="312">
        <v>0</v>
      </c>
      <c r="AM712" s="312">
        <f t="shared" si="78"/>
        <v>0</v>
      </c>
      <c r="AN712" s="306" t="s">
        <v>1863</v>
      </c>
      <c r="AO712" s="312">
        <f t="shared" si="79"/>
        <v>42642000</v>
      </c>
      <c r="AP712" s="306"/>
      <c r="AQ712" s="306"/>
      <c r="AR712" s="306"/>
      <c r="AS712" s="306"/>
      <c r="AT712" s="306"/>
    </row>
    <row r="713" spans="1:46" ht="127.5" x14ac:dyDescent="0.25">
      <c r="A713" s="306">
        <v>118</v>
      </c>
      <c r="B713" s="306" t="str">
        <f t="shared" si="76"/>
        <v>3075-118</v>
      </c>
      <c r="C713" s="307" t="s">
        <v>1852</v>
      </c>
      <c r="D713" s="308" t="s">
        <v>1853</v>
      </c>
      <c r="E713" s="308" t="s">
        <v>2119</v>
      </c>
      <c r="F713" s="307" t="s">
        <v>1907</v>
      </c>
      <c r="G713" s="327" t="s">
        <v>1908</v>
      </c>
      <c r="H713" s="335" t="s">
        <v>1909</v>
      </c>
      <c r="I713" s="308" t="s">
        <v>1858</v>
      </c>
      <c r="J713" s="308" t="s">
        <v>1859</v>
      </c>
      <c r="K713" s="308">
        <v>801116</v>
      </c>
      <c r="L713" s="306" t="s">
        <v>1860</v>
      </c>
      <c r="M713" s="306" t="s">
        <v>59</v>
      </c>
      <c r="N713" s="306" t="s">
        <v>60</v>
      </c>
      <c r="O713" s="308" t="s">
        <v>1910</v>
      </c>
      <c r="P713" s="329" t="s">
        <v>2161</v>
      </c>
      <c r="Q713" s="315">
        <v>4120000</v>
      </c>
      <c r="R713" s="333">
        <v>3</v>
      </c>
      <c r="S713" s="312">
        <v>24720000</v>
      </c>
      <c r="T713" s="306"/>
      <c r="U713" s="306" t="s">
        <v>1906</v>
      </c>
      <c r="V713" s="320" t="s">
        <v>302</v>
      </c>
      <c r="W713" s="314">
        <v>6</v>
      </c>
      <c r="X713" s="329"/>
      <c r="Y713" s="313"/>
      <c r="Z713" s="315"/>
      <c r="AA713" s="316"/>
      <c r="AB713" s="317"/>
      <c r="AC713" s="313"/>
      <c r="AD713" s="312"/>
      <c r="AE713" s="318">
        <f t="shared" si="77"/>
        <v>24720000</v>
      </c>
      <c r="AF713" s="317"/>
      <c r="AG713" s="313"/>
      <c r="AH713" s="312"/>
      <c r="AI713" s="306"/>
      <c r="AJ713" s="306"/>
      <c r="AK713" s="318">
        <f t="shared" si="80"/>
        <v>0</v>
      </c>
      <c r="AL713" s="312">
        <v>0</v>
      </c>
      <c r="AM713" s="312">
        <f t="shared" si="78"/>
        <v>0</v>
      </c>
      <c r="AN713" s="306" t="s">
        <v>1863</v>
      </c>
      <c r="AO713" s="312">
        <f t="shared" si="79"/>
        <v>24720000</v>
      </c>
      <c r="AP713" s="306"/>
      <c r="AQ713" s="306"/>
      <c r="AR713" s="306"/>
      <c r="AS713" s="306"/>
      <c r="AT713" s="306"/>
    </row>
    <row r="714" spans="1:46" ht="127.5" x14ac:dyDescent="0.25">
      <c r="A714" s="306">
        <v>119</v>
      </c>
      <c r="B714" s="306" t="str">
        <f t="shared" si="76"/>
        <v>3075-119</v>
      </c>
      <c r="C714" s="307" t="s">
        <v>1852</v>
      </c>
      <c r="D714" s="308" t="s">
        <v>1853</v>
      </c>
      <c r="E714" s="308" t="s">
        <v>2119</v>
      </c>
      <c r="F714" s="307" t="s">
        <v>1907</v>
      </c>
      <c r="G714" s="327" t="s">
        <v>1908</v>
      </c>
      <c r="H714" s="335" t="s">
        <v>1909</v>
      </c>
      <c r="I714" s="308" t="s">
        <v>1858</v>
      </c>
      <c r="J714" s="308" t="s">
        <v>1859</v>
      </c>
      <c r="K714" s="308">
        <v>801116</v>
      </c>
      <c r="L714" s="306" t="s">
        <v>1860</v>
      </c>
      <c r="M714" s="306" t="s">
        <v>59</v>
      </c>
      <c r="N714" s="306" t="s">
        <v>60</v>
      </c>
      <c r="O714" s="308" t="s">
        <v>1910</v>
      </c>
      <c r="P714" s="329" t="s">
        <v>2161</v>
      </c>
      <c r="Q714" s="315">
        <v>5036700</v>
      </c>
      <c r="R714" s="333">
        <v>2</v>
      </c>
      <c r="S714" s="312">
        <v>30220200</v>
      </c>
      <c r="T714" s="306"/>
      <c r="U714" s="306" t="s">
        <v>1906</v>
      </c>
      <c r="V714" s="320" t="s">
        <v>302</v>
      </c>
      <c r="W714" s="314">
        <v>6</v>
      </c>
      <c r="X714" s="329"/>
      <c r="Y714" s="313"/>
      <c r="Z714" s="315"/>
      <c r="AA714" s="316"/>
      <c r="AB714" s="317"/>
      <c r="AC714" s="313"/>
      <c r="AD714" s="312"/>
      <c r="AE714" s="318">
        <f t="shared" si="77"/>
        <v>30220200</v>
      </c>
      <c r="AF714" s="317"/>
      <c r="AG714" s="313"/>
      <c r="AH714" s="312"/>
      <c r="AI714" s="306"/>
      <c r="AJ714" s="306"/>
      <c r="AK714" s="318">
        <f t="shared" si="80"/>
        <v>0</v>
      </c>
      <c r="AL714" s="312">
        <v>0</v>
      </c>
      <c r="AM714" s="312">
        <f t="shared" si="78"/>
        <v>0</v>
      </c>
      <c r="AN714" s="306" t="s">
        <v>1863</v>
      </c>
      <c r="AO714" s="312">
        <f t="shared" si="79"/>
        <v>30220200</v>
      </c>
      <c r="AP714" s="306"/>
      <c r="AQ714" s="306"/>
      <c r="AR714" s="306"/>
      <c r="AS714" s="306"/>
      <c r="AT714" s="306"/>
    </row>
    <row r="715" spans="1:46" ht="140.25" x14ac:dyDescent="0.25">
      <c r="A715" s="306">
        <v>120</v>
      </c>
      <c r="B715" s="306" t="str">
        <f t="shared" si="76"/>
        <v>3075-120</v>
      </c>
      <c r="C715" s="307" t="s">
        <v>1852</v>
      </c>
      <c r="D715" s="308" t="s">
        <v>1853</v>
      </c>
      <c r="E715" s="308" t="s">
        <v>2119</v>
      </c>
      <c r="F715" s="307" t="s">
        <v>1907</v>
      </c>
      <c r="G715" s="327" t="s">
        <v>1908</v>
      </c>
      <c r="H715" s="335" t="s">
        <v>1909</v>
      </c>
      <c r="I715" s="308" t="s">
        <v>1858</v>
      </c>
      <c r="J715" s="308" t="s">
        <v>1859</v>
      </c>
      <c r="K715" s="308">
        <v>801116</v>
      </c>
      <c r="L715" s="306" t="s">
        <v>1860</v>
      </c>
      <c r="M715" s="306" t="s">
        <v>59</v>
      </c>
      <c r="N715" s="306" t="s">
        <v>60</v>
      </c>
      <c r="O715" s="308" t="s">
        <v>1910</v>
      </c>
      <c r="P715" s="329" t="s">
        <v>2168</v>
      </c>
      <c r="Q715" s="315">
        <v>5253000</v>
      </c>
      <c r="R715" s="333">
        <v>3</v>
      </c>
      <c r="S715" s="312">
        <v>63036000</v>
      </c>
      <c r="T715" s="306" t="s">
        <v>934</v>
      </c>
      <c r="U715" s="306" t="s">
        <v>1906</v>
      </c>
      <c r="V715" s="313" t="s">
        <v>308</v>
      </c>
      <c r="W715" s="314">
        <v>6</v>
      </c>
      <c r="X715" s="329" t="s">
        <v>2169</v>
      </c>
      <c r="Y715" s="313">
        <v>43119</v>
      </c>
      <c r="Z715" s="315">
        <v>19961400</v>
      </c>
      <c r="AA715" s="316" t="s">
        <v>63</v>
      </c>
      <c r="AB715" s="317">
        <v>543</v>
      </c>
      <c r="AC715" s="313">
        <v>43119</v>
      </c>
      <c r="AD715" s="312">
        <v>19961400</v>
      </c>
      <c r="AE715" s="318">
        <f t="shared" si="77"/>
        <v>43074600</v>
      </c>
      <c r="AF715" s="317">
        <v>485</v>
      </c>
      <c r="AG715" s="313">
        <v>43126</v>
      </c>
      <c r="AH715" s="312">
        <v>19961400</v>
      </c>
      <c r="AI715" s="306" t="s">
        <v>2170</v>
      </c>
      <c r="AJ715" s="306">
        <v>407</v>
      </c>
      <c r="AK715" s="318">
        <f t="shared" si="80"/>
        <v>0</v>
      </c>
      <c r="AL715" s="312">
        <f t="shared" ref="AL715:AL761" si="83">VLOOKUP(AB715,RP,13,FALSE)</f>
        <v>7208283</v>
      </c>
      <c r="AM715" s="312">
        <f t="shared" si="78"/>
        <v>12753117</v>
      </c>
      <c r="AN715" s="306" t="s">
        <v>1863</v>
      </c>
      <c r="AO715" s="312">
        <f t="shared" si="79"/>
        <v>43074600</v>
      </c>
      <c r="AP715" s="306"/>
      <c r="AQ715" s="306"/>
      <c r="AR715" s="306"/>
      <c r="AS715" s="306"/>
      <c r="AT715" s="306"/>
    </row>
    <row r="716" spans="1:46" ht="140.25" x14ac:dyDescent="0.25">
      <c r="A716" s="306">
        <v>121</v>
      </c>
      <c r="B716" s="306" t="str">
        <f t="shared" si="76"/>
        <v>3075-121</v>
      </c>
      <c r="C716" s="307" t="s">
        <v>1852</v>
      </c>
      <c r="D716" s="308" t="s">
        <v>1853</v>
      </c>
      <c r="E716" s="308" t="s">
        <v>2119</v>
      </c>
      <c r="F716" s="307" t="s">
        <v>1907</v>
      </c>
      <c r="G716" s="327" t="s">
        <v>1908</v>
      </c>
      <c r="H716" s="335" t="s">
        <v>1909</v>
      </c>
      <c r="I716" s="308" t="s">
        <v>1858</v>
      </c>
      <c r="J716" s="308" t="s">
        <v>1859</v>
      </c>
      <c r="K716" s="308">
        <v>801116</v>
      </c>
      <c r="L716" s="306" t="s">
        <v>1860</v>
      </c>
      <c r="M716" s="306" t="s">
        <v>59</v>
      </c>
      <c r="N716" s="306" t="s">
        <v>60</v>
      </c>
      <c r="O716" s="308" t="s">
        <v>1910</v>
      </c>
      <c r="P716" s="329" t="s">
        <v>2171</v>
      </c>
      <c r="Q716" s="315">
        <v>7210000</v>
      </c>
      <c r="R716" s="333">
        <v>1</v>
      </c>
      <c r="S716" s="312">
        <v>43260000</v>
      </c>
      <c r="T716" s="306" t="s">
        <v>900</v>
      </c>
      <c r="U716" s="306" t="s">
        <v>1906</v>
      </c>
      <c r="V716" s="313" t="s">
        <v>308</v>
      </c>
      <c r="W716" s="314">
        <v>6</v>
      </c>
      <c r="X716" s="329" t="s">
        <v>2172</v>
      </c>
      <c r="Y716" s="313">
        <v>43104</v>
      </c>
      <c r="Z716" s="315">
        <v>43260000</v>
      </c>
      <c r="AA716" s="316" t="s">
        <v>63</v>
      </c>
      <c r="AB716" s="317">
        <v>468</v>
      </c>
      <c r="AC716" s="313">
        <v>43112</v>
      </c>
      <c r="AD716" s="312">
        <v>43260000</v>
      </c>
      <c r="AE716" s="318">
        <f t="shared" si="77"/>
        <v>0</v>
      </c>
      <c r="AF716" s="317">
        <v>278</v>
      </c>
      <c r="AG716" s="313">
        <v>43122</v>
      </c>
      <c r="AH716" s="312">
        <v>43260000</v>
      </c>
      <c r="AI716" s="306" t="s">
        <v>2173</v>
      </c>
      <c r="AJ716" s="306">
        <v>248</v>
      </c>
      <c r="AK716" s="318">
        <f t="shared" si="80"/>
        <v>0</v>
      </c>
      <c r="AL716" s="312">
        <f t="shared" si="83"/>
        <v>16583000</v>
      </c>
      <c r="AM716" s="312">
        <f t="shared" si="78"/>
        <v>26677000</v>
      </c>
      <c r="AN716" s="306" t="s">
        <v>1863</v>
      </c>
      <c r="AO716" s="312">
        <f t="shared" si="79"/>
        <v>0</v>
      </c>
      <c r="AP716" s="306"/>
      <c r="AQ716" s="306"/>
      <c r="AR716" s="306"/>
      <c r="AS716" s="306"/>
      <c r="AT716" s="306"/>
    </row>
    <row r="717" spans="1:46" ht="140.25" x14ac:dyDescent="0.25">
      <c r="A717" s="306">
        <v>122</v>
      </c>
      <c r="B717" s="306" t="str">
        <f t="shared" si="76"/>
        <v>3075-122</v>
      </c>
      <c r="C717" s="307" t="s">
        <v>1852</v>
      </c>
      <c r="D717" s="308" t="s">
        <v>1853</v>
      </c>
      <c r="E717" s="308" t="s">
        <v>2119</v>
      </c>
      <c r="F717" s="307" t="s">
        <v>1907</v>
      </c>
      <c r="G717" s="327" t="s">
        <v>1908</v>
      </c>
      <c r="H717" s="335" t="s">
        <v>1909</v>
      </c>
      <c r="I717" s="308" t="s">
        <v>1858</v>
      </c>
      <c r="J717" s="308" t="s">
        <v>1859</v>
      </c>
      <c r="K717" s="308">
        <v>801116</v>
      </c>
      <c r="L717" s="306" t="s">
        <v>1860</v>
      </c>
      <c r="M717" s="306" t="s">
        <v>59</v>
      </c>
      <c r="N717" s="306" t="s">
        <v>60</v>
      </c>
      <c r="O717" s="308" t="s">
        <v>1910</v>
      </c>
      <c r="P717" s="329" t="s">
        <v>2174</v>
      </c>
      <c r="Q717" s="315">
        <v>7210000</v>
      </c>
      <c r="R717" s="333">
        <v>1</v>
      </c>
      <c r="S717" s="312">
        <v>43260000</v>
      </c>
      <c r="T717" s="306" t="s">
        <v>900</v>
      </c>
      <c r="U717" s="306" t="s">
        <v>1906</v>
      </c>
      <c r="V717" s="313" t="s">
        <v>308</v>
      </c>
      <c r="W717" s="314">
        <v>6</v>
      </c>
      <c r="X717" s="329" t="s">
        <v>2175</v>
      </c>
      <c r="Y717" s="313">
        <v>43104</v>
      </c>
      <c r="Z717" s="315">
        <v>43260000</v>
      </c>
      <c r="AA717" s="316" t="s">
        <v>63</v>
      </c>
      <c r="AB717" s="317">
        <v>464</v>
      </c>
      <c r="AC717" s="313">
        <v>43112</v>
      </c>
      <c r="AD717" s="312">
        <v>43260000</v>
      </c>
      <c r="AE717" s="318">
        <f t="shared" si="77"/>
        <v>0</v>
      </c>
      <c r="AF717" s="317">
        <v>403</v>
      </c>
      <c r="AG717" s="313">
        <v>43124</v>
      </c>
      <c r="AH717" s="312">
        <v>43260000</v>
      </c>
      <c r="AI717" s="306" t="s">
        <v>2176</v>
      </c>
      <c r="AJ717" s="306">
        <v>332</v>
      </c>
      <c r="AK717" s="318">
        <f t="shared" si="80"/>
        <v>0</v>
      </c>
      <c r="AL717" s="312">
        <f t="shared" si="83"/>
        <v>15862000</v>
      </c>
      <c r="AM717" s="312">
        <f t="shared" si="78"/>
        <v>27398000</v>
      </c>
      <c r="AN717" s="306" t="s">
        <v>1863</v>
      </c>
      <c r="AO717" s="312">
        <f t="shared" si="79"/>
        <v>0</v>
      </c>
      <c r="AP717" s="306"/>
      <c r="AQ717" s="306"/>
      <c r="AR717" s="306"/>
      <c r="AS717" s="306"/>
      <c r="AT717" s="306"/>
    </row>
    <row r="718" spans="1:46" ht="140.25" x14ac:dyDescent="0.25">
      <c r="A718" s="306">
        <v>123</v>
      </c>
      <c r="B718" s="306" t="str">
        <f t="shared" si="76"/>
        <v>3075-123</v>
      </c>
      <c r="C718" s="307" t="s">
        <v>1852</v>
      </c>
      <c r="D718" s="308" t="s">
        <v>1853</v>
      </c>
      <c r="E718" s="308" t="s">
        <v>2119</v>
      </c>
      <c r="F718" s="307" t="s">
        <v>1907</v>
      </c>
      <c r="G718" s="327" t="s">
        <v>1908</v>
      </c>
      <c r="H718" s="335" t="s">
        <v>1909</v>
      </c>
      <c r="I718" s="308" t="s">
        <v>1858</v>
      </c>
      <c r="J718" s="308" t="s">
        <v>1859</v>
      </c>
      <c r="K718" s="308">
        <v>801116</v>
      </c>
      <c r="L718" s="306" t="s">
        <v>1860</v>
      </c>
      <c r="M718" s="306" t="s">
        <v>59</v>
      </c>
      <c r="N718" s="306" t="s">
        <v>60</v>
      </c>
      <c r="O718" s="308" t="s">
        <v>1910</v>
      </c>
      <c r="P718" s="329" t="s">
        <v>2177</v>
      </c>
      <c r="Q718" s="315">
        <v>6180000</v>
      </c>
      <c r="R718" s="333">
        <v>1</v>
      </c>
      <c r="S718" s="312">
        <v>37080000</v>
      </c>
      <c r="T718" s="306" t="s">
        <v>900</v>
      </c>
      <c r="U718" s="306" t="s">
        <v>1906</v>
      </c>
      <c r="V718" s="313" t="s">
        <v>308</v>
      </c>
      <c r="W718" s="314">
        <v>6</v>
      </c>
      <c r="X718" s="329" t="s">
        <v>2178</v>
      </c>
      <c r="Y718" s="313">
        <v>43103</v>
      </c>
      <c r="Z718" s="315">
        <v>37080000</v>
      </c>
      <c r="AA718" s="316" t="s">
        <v>63</v>
      </c>
      <c r="AB718" s="317">
        <v>367</v>
      </c>
      <c r="AC718" s="313">
        <v>43110</v>
      </c>
      <c r="AD718" s="312">
        <v>37080000</v>
      </c>
      <c r="AE718" s="318">
        <f t="shared" si="77"/>
        <v>0</v>
      </c>
      <c r="AF718" s="317">
        <v>267</v>
      </c>
      <c r="AG718" s="313">
        <v>43119</v>
      </c>
      <c r="AH718" s="312">
        <v>37080000</v>
      </c>
      <c r="AI718" s="306" t="s">
        <v>2179</v>
      </c>
      <c r="AJ718" s="306">
        <v>237</v>
      </c>
      <c r="AK718" s="318">
        <f t="shared" si="80"/>
        <v>0</v>
      </c>
      <c r="AL718" s="312">
        <f t="shared" si="83"/>
        <v>14214000</v>
      </c>
      <c r="AM718" s="312">
        <f t="shared" si="78"/>
        <v>22866000</v>
      </c>
      <c r="AN718" s="306" t="s">
        <v>1863</v>
      </c>
      <c r="AO718" s="312">
        <f t="shared" si="79"/>
        <v>0</v>
      </c>
      <c r="AP718" s="306"/>
      <c r="AQ718" s="306"/>
      <c r="AR718" s="306"/>
      <c r="AS718" s="306"/>
      <c r="AT718" s="306"/>
    </row>
    <row r="719" spans="1:46" ht="76.5" x14ac:dyDescent="0.25">
      <c r="A719" s="306">
        <v>124</v>
      </c>
      <c r="B719" s="306" t="str">
        <f t="shared" si="76"/>
        <v>3075-124</v>
      </c>
      <c r="C719" s="307" t="s">
        <v>1852</v>
      </c>
      <c r="D719" s="308" t="s">
        <v>1853</v>
      </c>
      <c r="E719" s="308" t="s">
        <v>1854</v>
      </c>
      <c r="F719" s="307" t="s">
        <v>1907</v>
      </c>
      <c r="G719" s="327" t="s">
        <v>1908</v>
      </c>
      <c r="H719" s="335" t="s">
        <v>1909</v>
      </c>
      <c r="I719" s="308" t="s">
        <v>1858</v>
      </c>
      <c r="J719" s="308" t="s">
        <v>1859</v>
      </c>
      <c r="K719" s="308">
        <v>801116</v>
      </c>
      <c r="L719" s="306" t="s">
        <v>1860</v>
      </c>
      <c r="M719" s="306" t="s">
        <v>59</v>
      </c>
      <c r="N719" s="306" t="s">
        <v>60</v>
      </c>
      <c r="O719" s="308" t="s">
        <v>1910</v>
      </c>
      <c r="P719" s="308" t="s">
        <v>2180</v>
      </c>
      <c r="Q719" s="315">
        <v>2060000</v>
      </c>
      <c r="R719" s="333">
        <v>1</v>
      </c>
      <c r="S719" s="312">
        <v>23690000</v>
      </c>
      <c r="T719" s="306" t="s">
        <v>900</v>
      </c>
      <c r="U719" s="306" t="s">
        <v>1906</v>
      </c>
      <c r="V719" s="313" t="s">
        <v>308</v>
      </c>
      <c r="W719" s="314">
        <v>11.5</v>
      </c>
      <c r="X719" s="329" t="s">
        <v>2181</v>
      </c>
      <c r="Y719" s="313">
        <v>43109</v>
      </c>
      <c r="Z719" s="315">
        <v>23690000</v>
      </c>
      <c r="AA719" s="316" t="s">
        <v>63</v>
      </c>
      <c r="AB719" s="317">
        <v>432</v>
      </c>
      <c r="AC719" s="313">
        <v>43111</v>
      </c>
      <c r="AD719" s="312">
        <v>23690000</v>
      </c>
      <c r="AE719" s="318">
        <f t="shared" si="77"/>
        <v>0</v>
      </c>
      <c r="AF719" s="317">
        <v>42</v>
      </c>
      <c r="AG719" s="313">
        <v>43116</v>
      </c>
      <c r="AH719" s="312">
        <v>23690000</v>
      </c>
      <c r="AI719" s="306" t="s">
        <v>360</v>
      </c>
      <c r="AJ719" s="306">
        <v>36</v>
      </c>
      <c r="AK719" s="318">
        <f t="shared" si="80"/>
        <v>0</v>
      </c>
      <c r="AL719" s="312">
        <f t="shared" si="83"/>
        <v>4120000</v>
      </c>
      <c r="AM719" s="312">
        <f t="shared" si="78"/>
        <v>19570000</v>
      </c>
      <c r="AN719" s="306" t="s">
        <v>1863</v>
      </c>
      <c r="AO719" s="312">
        <f t="shared" si="79"/>
        <v>0</v>
      </c>
      <c r="AP719" s="306"/>
      <c r="AQ719" s="306"/>
      <c r="AR719" s="306"/>
      <c r="AS719" s="306"/>
      <c r="AT719" s="306"/>
    </row>
    <row r="720" spans="1:46" ht="76.5" x14ac:dyDescent="0.25">
      <c r="A720" s="306">
        <v>125</v>
      </c>
      <c r="B720" s="306" t="str">
        <f t="shared" si="76"/>
        <v>3075-125</v>
      </c>
      <c r="C720" s="307" t="s">
        <v>1852</v>
      </c>
      <c r="D720" s="308" t="s">
        <v>1853</v>
      </c>
      <c r="E720" s="308" t="s">
        <v>1854</v>
      </c>
      <c r="F720" s="307" t="s">
        <v>1907</v>
      </c>
      <c r="G720" s="327" t="s">
        <v>1908</v>
      </c>
      <c r="H720" s="310" t="s">
        <v>1909</v>
      </c>
      <c r="I720" s="308" t="s">
        <v>1858</v>
      </c>
      <c r="J720" s="308" t="s">
        <v>1859</v>
      </c>
      <c r="K720" s="308">
        <v>801116</v>
      </c>
      <c r="L720" s="306" t="s">
        <v>1860</v>
      </c>
      <c r="M720" s="306" t="s">
        <v>59</v>
      </c>
      <c r="N720" s="306" t="s">
        <v>60</v>
      </c>
      <c r="O720" s="308" t="s">
        <v>1910</v>
      </c>
      <c r="P720" s="308" t="s">
        <v>1982</v>
      </c>
      <c r="Q720" s="315">
        <v>3553500</v>
      </c>
      <c r="R720" s="306">
        <v>1</v>
      </c>
      <c r="S720" s="312">
        <v>31981500</v>
      </c>
      <c r="T720" s="306" t="s">
        <v>900</v>
      </c>
      <c r="U720" s="306" t="s">
        <v>1906</v>
      </c>
      <c r="V720" s="313" t="s">
        <v>308</v>
      </c>
      <c r="W720" s="314">
        <v>9</v>
      </c>
      <c r="X720" s="306" t="s">
        <v>2182</v>
      </c>
      <c r="Y720" s="313">
        <v>43102</v>
      </c>
      <c r="Z720" s="315">
        <v>31981500</v>
      </c>
      <c r="AA720" s="316" t="s">
        <v>2183</v>
      </c>
      <c r="AB720" s="317">
        <v>313</v>
      </c>
      <c r="AC720" s="313">
        <v>43110</v>
      </c>
      <c r="AD720" s="312">
        <v>31981500</v>
      </c>
      <c r="AE720" s="318">
        <f t="shared" si="77"/>
        <v>0</v>
      </c>
      <c r="AF720" s="317">
        <v>342</v>
      </c>
      <c r="AG720" s="313">
        <v>43123</v>
      </c>
      <c r="AH720" s="312">
        <v>31981500</v>
      </c>
      <c r="AI720" s="306" t="s">
        <v>2184</v>
      </c>
      <c r="AJ720" s="306">
        <v>346</v>
      </c>
      <c r="AK720" s="318">
        <f t="shared" si="80"/>
        <v>0</v>
      </c>
      <c r="AL720" s="312">
        <f t="shared" si="83"/>
        <v>7699250</v>
      </c>
      <c r="AM720" s="312">
        <f t="shared" si="78"/>
        <v>24282250</v>
      </c>
      <c r="AN720" s="306" t="s">
        <v>1863</v>
      </c>
      <c r="AO720" s="312">
        <f t="shared" si="79"/>
        <v>0</v>
      </c>
      <c r="AP720" s="306"/>
      <c r="AQ720" s="306"/>
      <c r="AR720" s="306"/>
      <c r="AS720" s="306"/>
      <c r="AT720" s="306"/>
    </row>
    <row r="721" spans="1:46" ht="76.5" x14ac:dyDescent="0.25">
      <c r="A721" s="306">
        <v>126</v>
      </c>
      <c r="B721" s="306" t="str">
        <f t="shared" si="76"/>
        <v>3075-126</v>
      </c>
      <c r="C721" s="307" t="s">
        <v>1852</v>
      </c>
      <c r="D721" s="308" t="s">
        <v>1853</v>
      </c>
      <c r="E721" s="308" t="s">
        <v>1854</v>
      </c>
      <c r="F721" s="307" t="s">
        <v>1907</v>
      </c>
      <c r="G721" s="327" t="s">
        <v>1908</v>
      </c>
      <c r="H721" s="310" t="s">
        <v>1909</v>
      </c>
      <c r="I721" s="308" t="s">
        <v>1858</v>
      </c>
      <c r="J721" s="308" t="s">
        <v>1859</v>
      </c>
      <c r="K721" s="308">
        <v>801116</v>
      </c>
      <c r="L721" s="306" t="s">
        <v>1860</v>
      </c>
      <c r="M721" s="306" t="s">
        <v>59</v>
      </c>
      <c r="N721" s="306" t="s">
        <v>60</v>
      </c>
      <c r="O721" s="308" t="s">
        <v>1910</v>
      </c>
      <c r="P721" s="308" t="s">
        <v>1982</v>
      </c>
      <c r="Q721" s="315">
        <v>4120000</v>
      </c>
      <c r="R721" s="306">
        <v>1</v>
      </c>
      <c r="S721" s="312">
        <v>37080000</v>
      </c>
      <c r="T721" s="306" t="s">
        <v>900</v>
      </c>
      <c r="U721" s="306" t="s">
        <v>1906</v>
      </c>
      <c r="V721" s="313" t="s">
        <v>308</v>
      </c>
      <c r="W721" s="314">
        <v>9</v>
      </c>
      <c r="X721" s="306" t="s">
        <v>2185</v>
      </c>
      <c r="Y721" s="313">
        <v>43102</v>
      </c>
      <c r="Z721" s="315">
        <v>37080000</v>
      </c>
      <c r="AA721" s="316" t="s">
        <v>2186</v>
      </c>
      <c r="AB721" s="317">
        <v>316</v>
      </c>
      <c r="AC721" s="313">
        <v>43110</v>
      </c>
      <c r="AD721" s="312">
        <v>37080000</v>
      </c>
      <c r="AE721" s="318">
        <f t="shared" si="77"/>
        <v>0</v>
      </c>
      <c r="AF721" s="317">
        <v>202</v>
      </c>
      <c r="AG721" s="313">
        <v>43118</v>
      </c>
      <c r="AH721" s="312">
        <v>37080000</v>
      </c>
      <c r="AI721" s="306" t="s">
        <v>2187</v>
      </c>
      <c r="AJ721" s="306">
        <v>191</v>
      </c>
      <c r="AK721" s="318">
        <f t="shared" si="80"/>
        <v>0</v>
      </c>
      <c r="AL721" s="312">
        <f t="shared" si="83"/>
        <v>9888000</v>
      </c>
      <c r="AM721" s="312">
        <f t="shared" si="78"/>
        <v>27192000</v>
      </c>
      <c r="AN721" s="306" t="s">
        <v>1863</v>
      </c>
      <c r="AO721" s="312">
        <f t="shared" si="79"/>
        <v>0</v>
      </c>
      <c r="AP721" s="306"/>
      <c r="AQ721" s="306"/>
      <c r="AR721" s="306"/>
      <c r="AS721" s="306"/>
      <c r="AT721" s="306"/>
    </row>
    <row r="722" spans="1:46" ht="89.25" x14ac:dyDescent="0.25">
      <c r="A722" s="306">
        <v>127</v>
      </c>
      <c r="B722" s="306" t="str">
        <f t="shared" si="76"/>
        <v>3075-127</v>
      </c>
      <c r="C722" s="307" t="s">
        <v>1852</v>
      </c>
      <c r="D722" s="308" t="s">
        <v>1853</v>
      </c>
      <c r="E722" s="308" t="s">
        <v>1854</v>
      </c>
      <c r="F722" s="307" t="s">
        <v>1907</v>
      </c>
      <c r="G722" s="327" t="s">
        <v>1908</v>
      </c>
      <c r="H722" s="310" t="s">
        <v>1909</v>
      </c>
      <c r="I722" s="308" t="s">
        <v>1858</v>
      </c>
      <c r="J722" s="308" t="s">
        <v>1859</v>
      </c>
      <c r="K722" s="308">
        <v>801116</v>
      </c>
      <c r="L722" s="306" t="s">
        <v>1860</v>
      </c>
      <c r="M722" s="306" t="s">
        <v>59</v>
      </c>
      <c r="N722" s="306" t="s">
        <v>60</v>
      </c>
      <c r="O722" s="308" t="s">
        <v>1910</v>
      </c>
      <c r="P722" s="308" t="s">
        <v>2062</v>
      </c>
      <c r="Q722" s="315">
        <v>3399000</v>
      </c>
      <c r="R722" s="306">
        <v>1</v>
      </c>
      <c r="S722" s="312">
        <v>27192000</v>
      </c>
      <c r="T722" s="306" t="s">
        <v>900</v>
      </c>
      <c r="U722" s="306" t="s">
        <v>1906</v>
      </c>
      <c r="V722" s="313" t="s">
        <v>308</v>
      </c>
      <c r="W722" s="314">
        <v>8</v>
      </c>
      <c r="X722" s="306" t="s">
        <v>2188</v>
      </c>
      <c r="Y722" s="313">
        <v>43102</v>
      </c>
      <c r="Z722" s="315">
        <v>27192000</v>
      </c>
      <c r="AA722" s="316" t="s">
        <v>2189</v>
      </c>
      <c r="AB722" s="317">
        <v>318</v>
      </c>
      <c r="AC722" s="313">
        <v>43110</v>
      </c>
      <c r="AD722" s="312">
        <v>27192000</v>
      </c>
      <c r="AE722" s="318">
        <f t="shared" si="77"/>
        <v>0</v>
      </c>
      <c r="AF722" s="317">
        <v>346</v>
      </c>
      <c r="AG722" s="313">
        <v>43123</v>
      </c>
      <c r="AH722" s="312">
        <v>27192000</v>
      </c>
      <c r="AI722" s="306" t="s">
        <v>2190</v>
      </c>
      <c r="AJ722" s="306">
        <v>294</v>
      </c>
      <c r="AK722" s="318">
        <f t="shared" si="80"/>
        <v>0</v>
      </c>
      <c r="AL722" s="312">
        <f t="shared" si="83"/>
        <v>7591100</v>
      </c>
      <c r="AM722" s="312">
        <f t="shared" si="78"/>
        <v>19600900</v>
      </c>
      <c r="AN722" s="306" t="s">
        <v>1863</v>
      </c>
      <c r="AO722" s="312">
        <f t="shared" si="79"/>
        <v>0</v>
      </c>
      <c r="AP722" s="306"/>
      <c r="AQ722" s="306"/>
      <c r="AR722" s="306"/>
      <c r="AS722" s="306"/>
      <c r="AT722" s="306"/>
    </row>
    <row r="723" spans="1:46" ht="76.5" x14ac:dyDescent="0.25">
      <c r="A723" s="306">
        <v>128</v>
      </c>
      <c r="B723" s="306" t="str">
        <f t="shared" si="76"/>
        <v>3075-128</v>
      </c>
      <c r="C723" s="307" t="s">
        <v>1852</v>
      </c>
      <c r="D723" s="308" t="s">
        <v>1853</v>
      </c>
      <c r="E723" s="308" t="s">
        <v>1854</v>
      </c>
      <c r="F723" s="307" t="s">
        <v>1907</v>
      </c>
      <c r="G723" s="327" t="s">
        <v>1908</v>
      </c>
      <c r="H723" s="310" t="s">
        <v>1909</v>
      </c>
      <c r="I723" s="308" t="s">
        <v>1858</v>
      </c>
      <c r="J723" s="308" t="s">
        <v>1859</v>
      </c>
      <c r="K723" s="308">
        <v>801116</v>
      </c>
      <c r="L723" s="306" t="s">
        <v>1860</v>
      </c>
      <c r="M723" s="306" t="s">
        <v>59</v>
      </c>
      <c r="N723" s="306" t="s">
        <v>60</v>
      </c>
      <c r="O723" s="308" t="s">
        <v>1910</v>
      </c>
      <c r="P723" s="308" t="s">
        <v>1936</v>
      </c>
      <c r="Q723" s="315">
        <v>4120000</v>
      </c>
      <c r="R723" s="306">
        <v>1</v>
      </c>
      <c r="S723" s="312">
        <v>37080000</v>
      </c>
      <c r="T723" s="306" t="s">
        <v>900</v>
      </c>
      <c r="U723" s="306" t="s">
        <v>1906</v>
      </c>
      <c r="V723" s="313" t="s">
        <v>308</v>
      </c>
      <c r="W723" s="314">
        <v>9</v>
      </c>
      <c r="X723" s="306" t="s">
        <v>2191</v>
      </c>
      <c r="Y723" s="313">
        <v>43102</v>
      </c>
      <c r="Z723" s="315">
        <v>37080000</v>
      </c>
      <c r="AA723" s="316" t="s">
        <v>2192</v>
      </c>
      <c r="AB723" s="317">
        <v>374</v>
      </c>
      <c r="AC723" s="313">
        <v>43110</v>
      </c>
      <c r="AD723" s="312">
        <v>37080000</v>
      </c>
      <c r="AE723" s="318">
        <f t="shared" si="77"/>
        <v>0</v>
      </c>
      <c r="AF723" s="317">
        <v>359</v>
      </c>
      <c r="AG723" s="313">
        <v>43123</v>
      </c>
      <c r="AH723" s="312">
        <v>37080000</v>
      </c>
      <c r="AI723" s="306" t="s">
        <v>2193</v>
      </c>
      <c r="AJ723" s="306">
        <v>300</v>
      </c>
      <c r="AK723" s="318">
        <f t="shared" si="80"/>
        <v>0</v>
      </c>
      <c r="AL723" s="312">
        <f t="shared" si="83"/>
        <v>8514667</v>
      </c>
      <c r="AM723" s="312">
        <f t="shared" si="78"/>
        <v>28565333</v>
      </c>
      <c r="AN723" s="306" t="s">
        <v>1863</v>
      </c>
      <c r="AO723" s="312">
        <f t="shared" si="79"/>
        <v>0</v>
      </c>
      <c r="AP723" s="306"/>
      <c r="AQ723" s="306"/>
      <c r="AR723" s="306"/>
      <c r="AS723" s="306"/>
      <c r="AT723" s="306"/>
    </row>
    <row r="724" spans="1:46" ht="76.5" x14ac:dyDescent="0.25">
      <c r="A724" s="306">
        <v>129</v>
      </c>
      <c r="B724" s="306" t="str">
        <f t="shared" ref="B724:B787" si="84">CONCATENATE("3075","-",A724)</f>
        <v>3075-129</v>
      </c>
      <c r="C724" s="307" t="s">
        <v>1852</v>
      </c>
      <c r="D724" s="308" t="s">
        <v>1853</v>
      </c>
      <c r="E724" s="308" t="s">
        <v>1854</v>
      </c>
      <c r="F724" s="307" t="s">
        <v>1907</v>
      </c>
      <c r="G724" s="327" t="s">
        <v>1908</v>
      </c>
      <c r="H724" s="310" t="s">
        <v>1909</v>
      </c>
      <c r="I724" s="308" t="s">
        <v>1858</v>
      </c>
      <c r="J724" s="308" t="s">
        <v>1859</v>
      </c>
      <c r="K724" s="308">
        <v>801116</v>
      </c>
      <c r="L724" s="306" t="s">
        <v>1860</v>
      </c>
      <c r="M724" s="306" t="s">
        <v>59</v>
      </c>
      <c r="N724" s="306" t="s">
        <v>60</v>
      </c>
      <c r="O724" s="308" t="s">
        <v>1910</v>
      </c>
      <c r="P724" s="308" t="s">
        <v>1914</v>
      </c>
      <c r="Q724" s="315">
        <v>1751000</v>
      </c>
      <c r="R724" s="306">
        <v>1</v>
      </c>
      <c r="S724" s="312">
        <v>19261000</v>
      </c>
      <c r="T724" s="306" t="s">
        <v>934</v>
      </c>
      <c r="U724" s="306" t="s">
        <v>1906</v>
      </c>
      <c r="V724" s="313" t="s">
        <v>308</v>
      </c>
      <c r="W724" s="314">
        <v>11</v>
      </c>
      <c r="X724" s="306" t="s">
        <v>2194</v>
      </c>
      <c r="Y724" s="313">
        <v>43102</v>
      </c>
      <c r="Z724" s="315">
        <v>19261000</v>
      </c>
      <c r="AA724" s="316" t="s">
        <v>2195</v>
      </c>
      <c r="AB724" s="317">
        <v>380</v>
      </c>
      <c r="AC724" s="313">
        <v>43110</v>
      </c>
      <c r="AD724" s="312">
        <v>19261000</v>
      </c>
      <c r="AE724" s="318">
        <f t="shared" ref="AE724:AE787" si="85">S724-Z724</f>
        <v>0</v>
      </c>
      <c r="AF724" s="317">
        <v>338</v>
      </c>
      <c r="AG724" s="313">
        <v>43123</v>
      </c>
      <c r="AH724" s="312">
        <v>19261000</v>
      </c>
      <c r="AI724" s="306" t="s">
        <v>2196</v>
      </c>
      <c r="AJ724" s="306">
        <v>343</v>
      </c>
      <c r="AK724" s="318">
        <f t="shared" si="80"/>
        <v>0</v>
      </c>
      <c r="AL724" s="312">
        <f t="shared" si="83"/>
        <v>3852200</v>
      </c>
      <c r="AM724" s="312">
        <f t="shared" ref="AM724:AM787" si="86">AH724-AL724</f>
        <v>15408800</v>
      </c>
      <c r="AN724" s="306" t="s">
        <v>1863</v>
      </c>
      <c r="AO724" s="312">
        <f t="shared" ref="AO724:AO787" si="87">S724-AH724</f>
        <v>0</v>
      </c>
      <c r="AP724" s="306"/>
      <c r="AQ724" s="306"/>
      <c r="AR724" s="306"/>
      <c r="AS724" s="306"/>
      <c r="AT724" s="306"/>
    </row>
    <row r="725" spans="1:46" ht="89.25" x14ac:dyDescent="0.25">
      <c r="A725" s="306">
        <v>130</v>
      </c>
      <c r="B725" s="306" t="str">
        <f t="shared" si="84"/>
        <v>3075-130</v>
      </c>
      <c r="C725" s="307" t="s">
        <v>1852</v>
      </c>
      <c r="D725" s="308" t="s">
        <v>1853</v>
      </c>
      <c r="E725" s="308" t="s">
        <v>1854</v>
      </c>
      <c r="F725" s="307" t="s">
        <v>1907</v>
      </c>
      <c r="G725" s="327" t="s">
        <v>1908</v>
      </c>
      <c r="H725" s="310" t="s">
        <v>1909</v>
      </c>
      <c r="I725" s="308" t="s">
        <v>1858</v>
      </c>
      <c r="J725" s="308" t="s">
        <v>1859</v>
      </c>
      <c r="K725" s="308">
        <v>801116</v>
      </c>
      <c r="L725" s="306" t="s">
        <v>1860</v>
      </c>
      <c r="M725" s="306" t="s">
        <v>59</v>
      </c>
      <c r="N725" s="306" t="s">
        <v>60</v>
      </c>
      <c r="O725" s="308" t="s">
        <v>1910</v>
      </c>
      <c r="P725" s="308" t="s">
        <v>2197</v>
      </c>
      <c r="Q725" s="315">
        <v>8240000</v>
      </c>
      <c r="R725" s="306">
        <v>1</v>
      </c>
      <c r="S725" s="312">
        <v>82400000</v>
      </c>
      <c r="T725" s="306" t="s">
        <v>900</v>
      </c>
      <c r="U725" s="306" t="s">
        <v>1906</v>
      </c>
      <c r="V725" s="313" t="s">
        <v>308</v>
      </c>
      <c r="W725" s="314">
        <v>10</v>
      </c>
      <c r="X725" s="306" t="s">
        <v>2198</v>
      </c>
      <c r="Y725" s="313">
        <v>43102</v>
      </c>
      <c r="Z725" s="315">
        <v>82400000</v>
      </c>
      <c r="AA725" s="316" t="s">
        <v>2199</v>
      </c>
      <c r="AB725" s="317">
        <v>381</v>
      </c>
      <c r="AC725" s="313">
        <v>43110</v>
      </c>
      <c r="AD725" s="312">
        <v>82400000</v>
      </c>
      <c r="AE725" s="318">
        <f t="shared" si="85"/>
        <v>0</v>
      </c>
      <c r="AF725" s="317">
        <v>134</v>
      </c>
      <c r="AG725" s="313">
        <v>43117</v>
      </c>
      <c r="AH725" s="312">
        <v>82400000</v>
      </c>
      <c r="AI725" s="306" t="s">
        <v>2200</v>
      </c>
      <c r="AJ725" s="306">
        <v>143</v>
      </c>
      <c r="AK725" s="318">
        <f t="shared" ref="AK725:AK788" si="88">AD725-AH725</f>
        <v>0</v>
      </c>
      <c r="AL725" s="312">
        <f t="shared" si="83"/>
        <v>20050667</v>
      </c>
      <c r="AM725" s="312">
        <f t="shared" si="86"/>
        <v>62349333</v>
      </c>
      <c r="AN725" s="306" t="s">
        <v>1863</v>
      </c>
      <c r="AO725" s="312">
        <f t="shared" si="87"/>
        <v>0</v>
      </c>
      <c r="AP725" s="306"/>
      <c r="AQ725" s="306"/>
      <c r="AR725" s="306"/>
      <c r="AS725" s="306"/>
      <c r="AT725" s="306"/>
    </row>
    <row r="726" spans="1:46" ht="76.5" x14ac:dyDescent="0.25">
      <c r="A726" s="306">
        <v>131</v>
      </c>
      <c r="B726" s="306" t="str">
        <f t="shared" si="84"/>
        <v>3075-131</v>
      </c>
      <c r="C726" s="307" t="s">
        <v>1852</v>
      </c>
      <c r="D726" s="308" t="s">
        <v>1853</v>
      </c>
      <c r="E726" s="308" t="s">
        <v>1854</v>
      </c>
      <c r="F726" s="307" t="s">
        <v>1907</v>
      </c>
      <c r="G726" s="327" t="s">
        <v>1908</v>
      </c>
      <c r="H726" s="310" t="s">
        <v>1909</v>
      </c>
      <c r="I726" s="308" t="s">
        <v>1858</v>
      </c>
      <c r="J726" s="308" t="s">
        <v>1859</v>
      </c>
      <c r="K726" s="308">
        <v>801116</v>
      </c>
      <c r="L726" s="306" t="s">
        <v>1860</v>
      </c>
      <c r="M726" s="306" t="s">
        <v>59</v>
      </c>
      <c r="N726" s="306" t="s">
        <v>60</v>
      </c>
      <c r="O726" s="308" t="s">
        <v>1910</v>
      </c>
      <c r="P726" s="328" t="s">
        <v>1914</v>
      </c>
      <c r="Q726" s="315">
        <v>1545000</v>
      </c>
      <c r="R726" s="306">
        <v>1</v>
      </c>
      <c r="S726" s="312">
        <v>9270000</v>
      </c>
      <c r="T726" s="306" t="s">
        <v>934</v>
      </c>
      <c r="U726" s="306" t="s">
        <v>1906</v>
      </c>
      <c r="V726" s="313" t="s">
        <v>308</v>
      </c>
      <c r="W726" s="314">
        <v>6</v>
      </c>
      <c r="X726" s="306" t="s">
        <v>2201</v>
      </c>
      <c r="Y726" s="313">
        <v>43102</v>
      </c>
      <c r="Z726" s="315">
        <v>9270000</v>
      </c>
      <c r="AA726" s="316" t="s">
        <v>2202</v>
      </c>
      <c r="AB726" s="317">
        <v>382</v>
      </c>
      <c r="AC726" s="313">
        <v>43110</v>
      </c>
      <c r="AD726" s="312">
        <v>9270000</v>
      </c>
      <c r="AE726" s="318">
        <f t="shared" si="85"/>
        <v>0</v>
      </c>
      <c r="AF726" s="317">
        <v>191</v>
      </c>
      <c r="AG726" s="313">
        <v>43118</v>
      </c>
      <c r="AH726" s="312">
        <v>9270000</v>
      </c>
      <c r="AI726" s="306" t="s">
        <v>2203</v>
      </c>
      <c r="AJ726" s="306">
        <v>166</v>
      </c>
      <c r="AK726" s="318">
        <f t="shared" si="88"/>
        <v>0</v>
      </c>
      <c r="AL726" s="312">
        <f t="shared" si="83"/>
        <v>3708000</v>
      </c>
      <c r="AM726" s="312">
        <f t="shared" si="86"/>
        <v>5562000</v>
      </c>
      <c r="AN726" s="306" t="s">
        <v>1863</v>
      </c>
      <c r="AO726" s="312">
        <f t="shared" si="87"/>
        <v>0</v>
      </c>
      <c r="AP726" s="306"/>
      <c r="AQ726" s="306"/>
      <c r="AR726" s="306"/>
      <c r="AS726" s="306"/>
      <c r="AT726" s="306"/>
    </row>
    <row r="727" spans="1:46" ht="76.5" x14ac:dyDescent="0.25">
      <c r="A727" s="306">
        <v>132</v>
      </c>
      <c r="B727" s="306" t="str">
        <f t="shared" si="84"/>
        <v>3075-132</v>
      </c>
      <c r="C727" s="307" t="s">
        <v>1852</v>
      </c>
      <c r="D727" s="308" t="s">
        <v>1853</v>
      </c>
      <c r="E727" s="308" t="s">
        <v>1854</v>
      </c>
      <c r="F727" s="307" t="s">
        <v>1907</v>
      </c>
      <c r="G727" s="327" t="s">
        <v>1908</v>
      </c>
      <c r="H727" s="310" t="s">
        <v>1909</v>
      </c>
      <c r="I727" s="308" t="s">
        <v>1858</v>
      </c>
      <c r="J727" s="308" t="s">
        <v>1859</v>
      </c>
      <c r="K727" s="308">
        <v>801116</v>
      </c>
      <c r="L727" s="306" t="s">
        <v>1860</v>
      </c>
      <c r="M727" s="306" t="s">
        <v>59</v>
      </c>
      <c r="N727" s="306" t="s">
        <v>60</v>
      </c>
      <c r="O727" s="308" t="s">
        <v>1910</v>
      </c>
      <c r="P727" s="308" t="s">
        <v>2204</v>
      </c>
      <c r="Q727" s="315">
        <v>4120000</v>
      </c>
      <c r="R727" s="306">
        <v>1</v>
      </c>
      <c r="S727" s="312">
        <v>45320000</v>
      </c>
      <c r="T727" s="306" t="s">
        <v>900</v>
      </c>
      <c r="U727" s="306" t="s">
        <v>1906</v>
      </c>
      <c r="V727" s="313" t="s">
        <v>308</v>
      </c>
      <c r="W727" s="314">
        <v>11</v>
      </c>
      <c r="X727" s="306" t="s">
        <v>2205</v>
      </c>
      <c r="Y727" s="313">
        <v>43102</v>
      </c>
      <c r="Z727" s="315">
        <v>45320000</v>
      </c>
      <c r="AA727" s="316" t="s">
        <v>2206</v>
      </c>
      <c r="AB727" s="317">
        <v>383</v>
      </c>
      <c r="AC727" s="313">
        <v>43110</v>
      </c>
      <c r="AD727" s="312">
        <v>45320000</v>
      </c>
      <c r="AE727" s="318">
        <f t="shared" si="85"/>
        <v>0</v>
      </c>
      <c r="AF727" s="317">
        <v>182</v>
      </c>
      <c r="AG727" s="313">
        <v>43118</v>
      </c>
      <c r="AH727" s="312">
        <v>45320000</v>
      </c>
      <c r="AI727" s="306" t="s">
        <v>2207</v>
      </c>
      <c r="AJ727" s="306">
        <v>108</v>
      </c>
      <c r="AK727" s="318">
        <f t="shared" si="88"/>
        <v>0</v>
      </c>
      <c r="AL727" s="312">
        <f t="shared" si="83"/>
        <v>10025333</v>
      </c>
      <c r="AM727" s="312">
        <f t="shared" si="86"/>
        <v>35294667</v>
      </c>
      <c r="AN727" s="306" t="s">
        <v>1863</v>
      </c>
      <c r="AO727" s="312">
        <f t="shared" si="87"/>
        <v>0</v>
      </c>
      <c r="AP727" s="306"/>
      <c r="AQ727" s="306"/>
      <c r="AR727" s="306"/>
      <c r="AS727" s="306"/>
      <c r="AT727" s="306"/>
    </row>
    <row r="728" spans="1:46" ht="76.5" x14ac:dyDescent="0.25">
      <c r="A728" s="306">
        <v>133</v>
      </c>
      <c r="B728" s="306" t="str">
        <f t="shared" si="84"/>
        <v>3075-133</v>
      </c>
      <c r="C728" s="307" t="s">
        <v>1852</v>
      </c>
      <c r="D728" s="308" t="s">
        <v>1853</v>
      </c>
      <c r="E728" s="308" t="s">
        <v>1854</v>
      </c>
      <c r="F728" s="307" t="s">
        <v>1907</v>
      </c>
      <c r="G728" s="327" t="s">
        <v>1908</v>
      </c>
      <c r="H728" s="310" t="s">
        <v>1909</v>
      </c>
      <c r="I728" s="308" t="s">
        <v>1858</v>
      </c>
      <c r="J728" s="308" t="s">
        <v>1859</v>
      </c>
      <c r="K728" s="308">
        <v>801116</v>
      </c>
      <c r="L728" s="306" t="s">
        <v>1860</v>
      </c>
      <c r="M728" s="306" t="s">
        <v>59</v>
      </c>
      <c r="N728" s="306" t="s">
        <v>60</v>
      </c>
      <c r="O728" s="308" t="s">
        <v>1910</v>
      </c>
      <c r="P728" s="308" t="s">
        <v>2208</v>
      </c>
      <c r="Q728" s="315">
        <v>4120000</v>
      </c>
      <c r="R728" s="306">
        <v>1</v>
      </c>
      <c r="S728" s="312">
        <v>37080000</v>
      </c>
      <c r="T728" s="306" t="s">
        <v>900</v>
      </c>
      <c r="U728" s="306" t="s">
        <v>1906</v>
      </c>
      <c r="V728" s="313" t="s">
        <v>308</v>
      </c>
      <c r="W728" s="314">
        <v>9</v>
      </c>
      <c r="X728" s="306" t="s">
        <v>2209</v>
      </c>
      <c r="Y728" s="313">
        <v>43102</v>
      </c>
      <c r="Z728" s="315">
        <v>37080000</v>
      </c>
      <c r="AA728" s="316" t="s">
        <v>2210</v>
      </c>
      <c r="AB728" s="317">
        <v>384</v>
      </c>
      <c r="AC728" s="313">
        <v>43110</v>
      </c>
      <c r="AD728" s="312">
        <v>37080000</v>
      </c>
      <c r="AE728" s="318">
        <f t="shared" si="85"/>
        <v>0</v>
      </c>
      <c r="AF728" s="317">
        <v>274</v>
      </c>
      <c r="AG728" s="313">
        <v>43122</v>
      </c>
      <c r="AH728" s="312">
        <v>37080000</v>
      </c>
      <c r="AI728" s="306" t="s">
        <v>2211</v>
      </c>
      <c r="AJ728" s="306">
        <v>244</v>
      </c>
      <c r="AK728" s="318">
        <f t="shared" si="88"/>
        <v>0</v>
      </c>
      <c r="AL728" s="312">
        <f t="shared" si="83"/>
        <v>9476000</v>
      </c>
      <c r="AM728" s="312">
        <f t="shared" si="86"/>
        <v>27604000</v>
      </c>
      <c r="AN728" s="306" t="s">
        <v>1863</v>
      </c>
      <c r="AO728" s="312">
        <f t="shared" si="87"/>
        <v>0</v>
      </c>
      <c r="AP728" s="306"/>
      <c r="AQ728" s="306"/>
      <c r="AR728" s="306"/>
      <c r="AS728" s="306"/>
      <c r="AT728" s="306"/>
    </row>
    <row r="729" spans="1:46" ht="76.5" x14ac:dyDescent="0.25">
      <c r="A729" s="306">
        <v>134</v>
      </c>
      <c r="B729" s="306" t="str">
        <f t="shared" si="84"/>
        <v>3075-134</v>
      </c>
      <c r="C729" s="307" t="s">
        <v>1852</v>
      </c>
      <c r="D729" s="308" t="s">
        <v>1853</v>
      </c>
      <c r="E729" s="308" t="s">
        <v>1854</v>
      </c>
      <c r="F729" s="307" t="s">
        <v>1907</v>
      </c>
      <c r="G729" s="327" t="s">
        <v>1908</v>
      </c>
      <c r="H729" s="310" t="s">
        <v>1909</v>
      </c>
      <c r="I729" s="308" t="s">
        <v>1858</v>
      </c>
      <c r="J729" s="308" t="s">
        <v>1859</v>
      </c>
      <c r="K729" s="308">
        <v>801116</v>
      </c>
      <c r="L729" s="306" t="s">
        <v>1860</v>
      </c>
      <c r="M729" s="306" t="s">
        <v>59</v>
      </c>
      <c r="N729" s="306" t="s">
        <v>60</v>
      </c>
      <c r="O729" s="308" t="s">
        <v>1910</v>
      </c>
      <c r="P729" s="308" t="s">
        <v>2212</v>
      </c>
      <c r="Q729" s="315">
        <v>4120000</v>
      </c>
      <c r="R729" s="306">
        <v>1</v>
      </c>
      <c r="S729" s="312">
        <v>41200000</v>
      </c>
      <c r="T729" s="306" t="s">
        <v>900</v>
      </c>
      <c r="U729" s="306" t="s">
        <v>1906</v>
      </c>
      <c r="V729" s="313" t="s">
        <v>308</v>
      </c>
      <c r="W729" s="314">
        <v>10</v>
      </c>
      <c r="X729" s="306" t="s">
        <v>2213</v>
      </c>
      <c r="Y729" s="313">
        <v>43102</v>
      </c>
      <c r="Z729" s="315">
        <v>41200000</v>
      </c>
      <c r="AA729" s="316" t="s">
        <v>2210</v>
      </c>
      <c r="AB729" s="317">
        <v>386</v>
      </c>
      <c r="AC729" s="313">
        <v>43110</v>
      </c>
      <c r="AD729" s="312">
        <v>41200000</v>
      </c>
      <c r="AE729" s="318">
        <f t="shared" si="85"/>
        <v>0</v>
      </c>
      <c r="AF729" s="317">
        <v>287</v>
      </c>
      <c r="AG729" s="313">
        <v>43122</v>
      </c>
      <c r="AH729" s="312">
        <v>41200000</v>
      </c>
      <c r="AI729" s="306" t="s">
        <v>2214</v>
      </c>
      <c r="AJ729" s="306">
        <v>251</v>
      </c>
      <c r="AK729" s="318">
        <f t="shared" si="88"/>
        <v>0</v>
      </c>
      <c r="AL729" s="312">
        <f t="shared" si="83"/>
        <v>9476000</v>
      </c>
      <c r="AM729" s="312">
        <f t="shared" si="86"/>
        <v>31724000</v>
      </c>
      <c r="AN729" s="306" t="s">
        <v>1863</v>
      </c>
      <c r="AO729" s="312">
        <f t="shared" si="87"/>
        <v>0</v>
      </c>
      <c r="AP729" s="306"/>
      <c r="AQ729" s="306"/>
      <c r="AR729" s="306"/>
      <c r="AS729" s="306"/>
      <c r="AT729" s="306"/>
    </row>
    <row r="730" spans="1:46" ht="76.5" x14ac:dyDescent="0.25">
      <c r="A730" s="306">
        <v>135</v>
      </c>
      <c r="B730" s="306" t="str">
        <f t="shared" si="84"/>
        <v>3075-135</v>
      </c>
      <c r="C730" s="307" t="s">
        <v>1852</v>
      </c>
      <c r="D730" s="308" t="s">
        <v>1853</v>
      </c>
      <c r="E730" s="308" t="s">
        <v>1854</v>
      </c>
      <c r="F730" s="307" t="s">
        <v>1907</v>
      </c>
      <c r="G730" s="327" t="s">
        <v>1908</v>
      </c>
      <c r="H730" s="310" t="s">
        <v>1909</v>
      </c>
      <c r="I730" s="308" t="s">
        <v>1858</v>
      </c>
      <c r="J730" s="308" t="s">
        <v>1859</v>
      </c>
      <c r="K730" s="308">
        <v>801116</v>
      </c>
      <c r="L730" s="306" t="s">
        <v>1860</v>
      </c>
      <c r="M730" s="306" t="s">
        <v>59</v>
      </c>
      <c r="N730" s="306" t="s">
        <v>60</v>
      </c>
      <c r="O730" s="308" t="s">
        <v>1910</v>
      </c>
      <c r="P730" s="308" t="s">
        <v>1914</v>
      </c>
      <c r="Q730" s="315">
        <v>1751000</v>
      </c>
      <c r="R730" s="306">
        <v>1</v>
      </c>
      <c r="S730" s="312">
        <v>19261000</v>
      </c>
      <c r="T730" s="306" t="s">
        <v>934</v>
      </c>
      <c r="U730" s="306" t="s">
        <v>1906</v>
      </c>
      <c r="V730" s="313" t="s">
        <v>308</v>
      </c>
      <c r="W730" s="314">
        <v>11</v>
      </c>
      <c r="X730" s="306" t="s">
        <v>2215</v>
      </c>
      <c r="Y730" s="313">
        <v>43102</v>
      </c>
      <c r="Z730" s="315">
        <v>19261000</v>
      </c>
      <c r="AA730" s="316" t="s">
        <v>2195</v>
      </c>
      <c r="AB730" s="317">
        <v>387</v>
      </c>
      <c r="AC730" s="313">
        <v>43110</v>
      </c>
      <c r="AD730" s="312">
        <v>19261000</v>
      </c>
      <c r="AE730" s="318">
        <f t="shared" si="85"/>
        <v>0</v>
      </c>
      <c r="AF730" s="317">
        <v>126</v>
      </c>
      <c r="AG730" s="313">
        <v>43117</v>
      </c>
      <c r="AH730" s="312">
        <v>19261000</v>
      </c>
      <c r="AI730" s="306" t="s">
        <v>2216</v>
      </c>
      <c r="AJ730" s="306">
        <v>118</v>
      </c>
      <c r="AK730" s="318">
        <f t="shared" si="88"/>
        <v>0</v>
      </c>
      <c r="AL730" s="312">
        <f t="shared" si="83"/>
        <v>4260767</v>
      </c>
      <c r="AM730" s="312">
        <f t="shared" si="86"/>
        <v>15000233</v>
      </c>
      <c r="AN730" s="306" t="s">
        <v>1863</v>
      </c>
      <c r="AO730" s="312">
        <f t="shared" si="87"/>
        <v>0</v>
      </c>
      <c r="AP730" s="306"/>
      <c r="AQ730" s="306"/>
      <c r="AR730" s="306"/>
      <c r="AS730" s="306"/>
      <c r="AT730" s="306"/>
    </row>
    <row r="731" spans="1:46" ht="76.5" x14ac:dyDescent="0.25">
      <c r="A731" s="306">
        <v>136</v>
      </c>
      <c r="B731" s="306" t="str">
        <f t="shared" si="84"/>
        <v>3075-136</v>
      </c>
      <c r="C731" s="307" t="s">
        <v>1852</v>
      </c>
      <c r="D731" s="308" t="s">
        <v>1853</v>
      </c>
      <c r="E731" s="308" t="s">
        <v>1854</v>
      </c>
      <c r="F731" s="307" t="s">
        <v>1907</v>
      </c>
      <c r="G731" s="327" t="s">
        <v>1908</v>
      </c>
      <c r="H731" s="310" t="s">
        <v>1909</v>
      </c>
      <c r="I731" s="308" t="s">
        <v>1858</v>
      </c>
      <c r="J731" s="308" t="s">
        <v>1859</v>
      </c>
      <c r="K731" s="308">
        <v>801116</v>
      </c>
      <c r="L731" s="306" t="s">
        <v>1860</v>
      </c>
      <c r="M731" s="306" t="s">
        <v>59</v>
      </c>
      <c r="N731" s="306" t="s">
        <v>60</v>
      </c>
      <c r="O731" s="308" t="s">
        <v>1910</v>
      </c>
      <c r="P731" s="308" t="s">
        <v>1936</v>
      </c>
      <c r="Q731" s="315">
        <v>4120000</v>
      </c>
      <c r="R731" s="306">
        <v>1</v>
      </c>
      <c r="S731" s="312">
        <v>45320000</v>
      </c>
      <c r="T731" s="306" t="s">
        <v>900</v>
      </c>
      <c r="U731" s="306" t="s">
        <v>1906</v>
      </c>
      <c r="V731" s="313" t="s">
        <v>308</v>
      </c>
      <c r="W731" s="314">
        <v>11</v>
      </c>
      <c r="X731" s="306" t="s">
        <v>2217</v>
      </c>
      <c r="Y731" s="313">
        <v>43102</v>
      </c>
      <c r="Z731" s="315">
        <v>45320000</v>
      </c>
      <c r="AA731" s="316" t="s">
        <v>2192</v>
      </c>
      <c r="AB731" s="317">
        <v>388</v>
      </c>
      <c r="AC731" s="313">
        <v>43110</v>
      </c>
      <c r="AD731" s="312">
        <v>45320000</v>
      </c>
      <c r="AE731" s="318">
        <f t="shared" si="85"/>
        <v>0</v>
      </c>
      <c r="AF731" s="317">
        <v>129</v>
      </c>
      <c r="AG731" s="313">
        <v>43117</v>
      </c>
      <c r="AH731" s="312">
        <v>45320000</v>
      </c>
      <c r="AI731" s="306" t="s">
        <v>2218</v>
      </c>
      <c r="AJ731" s="306">
        <v>120</v>
      </c>
      <c r="AK731" s="318">
        <f t="shared" si="88"/>
        <v>0</v>
      </c>
      <c r="AL731" s="312">
        <f t="shared" si="83"/>
        <v>10025333</v>
      </c>
      <c r="AM731" s="312">
        <f t="shared" si="86"/>
        <v>35294667</v>
      </c>
      <c r="AN731" s="306" t="s">
        <v>1863</v>
      </c>
      <c r="AO731" s="312">
        <f t="shared" si="87"/>
        <v>0</v>
      </c>
      <c r="AP731" s="306"/>
      <c r="AQ731" s="306"/>
      <c r="AR731" s="306"/>
      <c r="AS731" s="306"/>
      <c r="AT731" s="306"/>
    </row>
    <row r="732" spans="1:46" ht="76.5" x14ac:dyDescent="0.25">
      <c r="A732" s="306">
        <v>137</v>
      </c>
      <c r="B732" s="306" t="str">
        <f t="shared" si="84"/>
        <v>3075-137</v>
      </c>
      <c r="C732" s="307" t="s">
        <v>1852</v>
      </c>
      <c r="D732" s="308" t="s">
        <v>1853</v>
      </c>
      <c r="E732" s="308" t="s">
        <v>1854</v>
      </c>
      <c r="F732" s="307" t="s">
        <v>1907</v>
      </c>
      <c r="G732" s="327" t="s">
        <v>1908</v>
      </c>
      <c r="H732" s="310" t="s">
        <v>1909</v>
      </c>
      <c r="I732" s="308" t="s">
        <v>1858</v>
      </c>
      <c r="J732" s="308" t="s">
        <v>1859</v>
      </c>
      <c r="K732" s="308">
        <v>801116</v>
      </c>
      <c r="L732" s="306" t="s">
        <v>1860</v>
      </c>
      <c r="M732" s="306" t="s">
        <v>59</v>
      </c>
      <c r="N732" s="306" t="s">
        <v>60</v>
      </c>
      <c r="O732" s="308" t="s">
        <v>1910</v>
      </c>
      <c r="P732" s="328" t="s">
        <v>1914</v>
      </c>
      <c r="Q732" s="315">
        <v>1545000</v>
      </c>
      <c r="R732" s="306">
        <v>1</v>
      </c>
      <c r="S732" s="312">
        <v>16995000</v>
      </c>
      <c r="T732" s="306" t="s">
        <v>934</v>
      </c>
      <c r="U732" s="306" t="s">
        <v>1906</v>
      </c>
      <c r="V732" s="313" t="s">
        <v>308</v>
      </c>
      <c r="W732" s="314">
        <v>11</v>
      </c>
      <c r="X732" s="306" t="s">
        <v>2219</v>
      </c>
      <c r="Y732" s="313">
        <v>43102</v>
      </c>
      <c r="Z732" s="315">
        <v>16995000</v>
      </c>
      <c r="AA732" s="316" t="s">
        <v>2202</v>
      </c>
      <c r="AB732" s="317">
        <v>389</v>
      </c>
      <c r="AC732" s="313">
        <v>43110</v>
      </c>
      <c r="AD732" s="312">
        <v>16995000</v>
      </c>
      <c r="AE732" s="318">
        <f t="shared" si="85"/>
        <v>0</v>
      </c>
      <c r="AF732" s="317">
        <v>355</v>
      </c>
      <c r="AG732" s="313">
        <v>43123</v>
      </c>
      <c r="AH732" s="312">
        <v>16995000</v>
      </c>
      <c r="AI732" s="306" t="s">
        <v>2220</v>
      </c>
      <c r="AJ732" s="306">
        <v>352</v>
      </c>
      <c r="AK732" s="318">
        <f t="shared" si="88"/>
        <v>0</v>
      </c>
      <c r="AL732" s="312">
        <f t="shared" si="83"/>
        <v>3399000</v>
      </c>
      <c r="AM732" s="312">
        <f t="shared" si="86"/>
        <v>13596000</v>
      </c>
      <c r="AN732" s="306" t="s">
        <v>1863</v>
      </c>
      <c r="AO732" s="312">
        <f t="shared" si="87"/>
        <v>0</v>
      </c>
      <c r="AP732" s="306"/>
      <c r="AQ732" s="306"/>
      <c r="AR732" s="306"/>
      <c r="AS732" s="306"/>
      <c r="AT732" s="306"/>
    </row>
    <row r="733" spans="1:46" ht="76.5" x14ac:dyDescent="0.25">
      <c r="A733" s="306">
        <v>138</v>
      </c>
      <c r="B733" s="306" t="str">
        <f t="shared" si="84"/>
        <v>3075-138</v>
      </c>
      <c r="C733" s="307" t="s">
        <v>1852</v>
      </c>
      <c r="D733" s="308" t="s">
        <v>1853</v>
      </c>
      <c r="E733" s="308" t="s">
        <v>1854</v>
      </c>
      <c r="F733" s="307" t="s">
        <v>1907</v>
      </c>
      <c r="G733" s="327" t="s">
        <v>1908</v>
      </c>
      <c r="H733" s="310" t="s">
        <v>1909</v>
      </c>
      <c r="I733" s="308" t="s">
        <v>1858</v>
      </c>
      <c r="J733" s="308" t="s">
        <v>1859</v>
      </c>
      <c r="K733" s="308">
        <v>801116</v>
      </c>
      <c r="L733" s="306" t="s">
        <v>1860</v>
      </c>
      <c r="M733" s="306" t="s">
        <v>59</v>
      </c>
      <c r="N733" s="306" t="s">
        <v>60</v>
      </c>
      <c r="O733" s="308" t="s">
        <v>1910</v>
      </c>
      <c r="P733" s="308" t="s">
        <v>2221</v>
      </c>
      <c r="Q733" s="315">
        <v>4120000</v>
      </c>
      <c r="R733" s="306">
        <v>1</v>
      </c>
      <c r="S733" s="312">
        <v>41200000</v>
      </c>
      <c r="T733" s="306" t="s">
        <v>900</v>
      </c>
      <c r="U733" s="306" t="s">
        <v>1906</v>
      </c>
      <c r="V733" s="313" t="s">
        <v>308</v>
      </c>
      <c r="W733" s="314">
        <v>10</v>
      </c>
      <c r="X733" s="306" t="s">
        <v>2222</v>
      </c>
      <c r="Y733" s="313">
        <v>43102</v>
      </c>
      <c r="Z733" s="315">
        <v>41200000</v>
      </c>
      <c r="AA733" s="316" t="s">
        <v>2206</v>
      </c>
      <c r="AB733" s="317">
        <v>392</v>
      </c>
      <c r="AC733" s="313">
        <v>43110</v>
      </c>
      <c r="AD733" s="312">
        <v>41200000</v>
      </c>
      <c r="AE733" s="318">
        <f t="shared" si="85"/>
        <v>0</v>
      </c>
      <c r="AF733" s="317">
        <v>124</v>
      </c>
      <c r="AG733" s="313">
        <v>43117</v>
      </c>
      <c r="AH733" s="312">
        <v>41200000</v>
      </c>
      <c r="AI733" s="306" t="s">
        <v>2223</v>
      </c>
      <c r="AJ733" s="306">
        <v>117</v>
      </c>
      <c r="AK733" s="318">
        <f t="shared" si="88"/>
        <v>0</v>
      </c>
      <c r="AL733" s="312">
        <f t="shared" si="83"/>
        <v>10025333</v>
      </c>
      <c r="AM733" s="312">
        <f t="shared" si="86"/>
        <v>31174667</v>
      </c>
      <c r="AN733" s="306" t="s">
        <v>1863</v>
      </c>
      <c r="AO733" s="312">
        <f t="shared" si="87"/>
        <v>0</v>
      </c>
      <c r="AP733" s="306"/>
      <c r="AQ733" s="306"/>
      <c r="AR733" s="306"/>
      <c r="AS733" s="306"/>
      <c r="AT733" s="306"/>
    </row>
    <row r="734" spans="1:46" ht="76.5" x14ac:dyDescent="0.25">
      <c r="A734" s="306">
        <v>139</v>
      </c>
      <c r="B734" s="306" t="str">
        <f t="shared" si="84"/>
        <v>3075-139</v>
      </c>
      <c r="C734" s="307" t="s">
        <v>1852</v>
      </c>
      <c r="D734" s="308" t="s">
        <v>1853</v>
      </c>
      <c r="E734" s="308" t="s">
        <v>1854</v>
      </c>
      <c r="F734" s="307" t="s">
        <v>1907</v>
      </c>
      <c r="G734" s="327" t="s">
        <v>1908</v>
      </c>
      <c r="H734" s="310" t="s">
        <v>1909</v>
      </c>
      <c r="I734" s="308" t="s">
        <v>1858</v>
      </c>
      <c r="J734" s="308" t="s">
        <v>1859</v>
      </c>
      <c r="K734" s="308">
        <v>801116</v>
      </c>
      <c r="L734" s="306" t="s">
        <v>1860</v>
      </c>
      <c r="M734" s="306" t="s">
        <v>59</v>
      </c>
      <c r="N734" s="306" t="s">
        <v>60</v>
      </c>
      <c r="O734" s="308" t="s">
        <v>1910</v>
      </c>
      <c r="P734" s="308" t="s">
        <v>2224</v>
      </c>
      <c r="Q734" s="315">
        <v>4120000</v>
      </c>
      <c r="R734" s="306">
        <v>1</v>
      </c>
      <c r="S734" s="312">
        <v>32960000</v>
      </c>
      <c r="T734" s="306" t="s">
        <v>900</v>
      </c>
      <c r="U734" s="306" t="s">
        <v>1906</v>
      </c>
      <c r="V734" s="313" t="s">
        <v>308</v>
      </c>
      <c r="W734" s="314">
        <v>8</v>
      </c>
      <c r="X734" s="306" t="s">
        <v>2225</v>
      </c>
      <c r="Y734" s="313">
        <v>43102</v>
      </c>
      <c r="Z734" s="315">
        <v>32960000</v>
      </c>
      <c r="AA734" s="316" t="s">
        <v>2206</v>
      </c>
      <c r="AB734" s="317">
        <v>394</v>
      </c>
      <c r="AC734" s="313">
        <v>43110</v>
      </c>
      <c r="AD734" s="312">
        <v>32960000</v>
      </c>
      <c r="AE734" s="318">
        <f t="shared" si="85"/>
        <v>0</v>
      </c>
      <c r="AF734" s="317">
        <v>391</v>
      </c>
      <c r="AG734" s="313">
        <v>43124</v>
      </c>
      <c r="AH734" s="312">
        <v>32960000</v>
      </c>
      <c r="AI734" s="306" t="s">
        <v>2226</v>
      </c>
      <c r="AJ734" s="306">
        <v>313</v>
      </c>
      <c r="AK734" s="318">
        <f t="shared" si="88"/>
        <v>0</v>
      </c>
      <c r="AL734" s="312">
        <f t="shared" si="83"/>
        <v>9201333</v>
      </c>
      <c r="AM734" s="312">
        <f t="shared" si="86"/>
        <v>23758667</v>
      </c>
      <c r="AN734" s="306" t="s">
        <v>1863</v>
      </c>
      <c r="AO734" s="312">
        <f t="shared" si="87"/>
        <v>0</v>
      </c>
      <c r="AP734" s="306"/>
      <c r="AQ734" s="306"/>
      <c r="AR734" s="306"/>
      <c r="AS734" s="306"/>
      <c r="AT734" s="306"/>
    </row>
    <row r="735" spans="1:46" ht="76.5" x14ac:dyDescent="0.25">
      <c r="A735" s="306">
        <v>140</v>
      </c>
      <c r="B735" s="306" t="str">
        <f t="shared" si="84"/>
        <v>3075-140</v>
      </c>
      <c r="C735" s="307" t="s">
        <v>1852</v>
      </c>
      <c r="D735" s="308" t="s">
        <v>1853</v>
      </c>
      <c r="E735" s="308" t="s">
        <v>1854</v>
      </c>
      <c r="F735" s="307" t="s">
        <v>1907</v>
      </c>
      <c r="G735" s="327" t="s">
        <v>1908</v>
      </c>
      <c r="H735" s="310" t="s">
        <v>1909</v>
      </c>
      <c r="I735" s="308" t="s">
        <v>1858</v>
      </c>
      <c r="J735" s="308" t="s">
        <v>1859</v>
      </c>
      <c r="K735" s="308">
        <v>801116</v>
      </c>
      <c r="L735" s="306" t="s">
        <v>1860</v>
      </c>
      <c r="M735" s="306" t="s">
        <v>59</v>
      </c>
      <c r="N735" s="306" t="s">
        <v>60</v>
      </c>
      <c r="O735" s="308" t="s">
        <v>1910</v>
      </c>
      <c r="P735" s="308" t="s">
        <v>1971</v>
      </c>
      <c r="Q735" s="315">
        <v>2472000</v>
      </c>
      <c r="R735" s="306">
        <v>1</v>
      </c>
      <c r="S735" s="312">
        <v>27192000</v>
      </c>
      <c r="T735" s="306" t="s">
        <v>934</v>
      </c>
      <c r="U735" s="306" t="s">
        <v>1906</v>
      </c>
      <c r="V735" s="313" t="s">
        <v>308</v>
      </c>
      <c r="W735" s="314">
        <v>11</v>
      </c>
      <c r="X735" s="306" t="s">
        <v>2227</v>
      </c>
      <c r="Y735" s="313">
        <v>43102</v>
      </c>
      <c r="Z735" s="315">
        <v>27192000</v>
      </c>
      <c r="AA735" s="316" t="s">
        <v>2228</v>
      </c>
      <c r="AB735" s="317">
        <v>396</v>
      </c>
      <c r="AC735" s="313">
        <v>43110</v>
      </c>
      <c r="AD735" s="312">
        <v>27192000</v>
      </c>
      <c r="AE735" s="318">
        <f t="shared" si="85"/>
        <v>0</v>
      </c>
      <c r="AF735" s="317">
        <v>283</v>
      </c>
      <c r="AG735" s="313">
        <v>43122</v>
      </c>
      <c r="AH735" s="312">
        <v>27192000</v>
      </c>
      <c r="AI735" s="306" t="s">
        <v>2229</v>
      </c>
      <c r="AJ735" s="306">
        <v>253</v>
      </c>
      <c r="AK735" s="318">
        <f t="shared" si="88"/>
        <v>0</v>
      </c>
      <c r="AL735" s="312">
        <f t="shared" si="83"/>
        <v>5685600</v>
      </c>
      <c r="AM735" s="312">
        <f t="shared" si="86"/>
        <v>21506400</v>
      </c>
      <c r="AN735" s="306" t="s">
        <v>1863</v>
      </c>
      <c r="AO735" s="312">
        <f t="shared" si="87"/>
        <v>0</v>
      </c>
      <c r="AP735" s="306"/>
      <c r="AQ735" s="306"/>
      <c r="AR735" s="306"/>
      <c r="AS735" s="306"/>
      <c r="AT735" s="306"/>
    </row>
    <row r="736" spans="1:46" ht="89.25" x14ac:dyDescent="0.25">
      <c r="A736" s="306">
        <v>141</v>
      </c>
      <c r="B736" s="306" t="str">
        <f t="shared" si="84"/>
        <v>3075-141</v>
      </c>
      <c r="C736" s="307" t="s">
        <v>1852</v>
      </c>
      <c r="D736" s="308" t="s">
        <v>1853</v>
      </c>
      <c r="E736" s="308" t="s">
        <v>1854</v>
      </c>
      <c r="F736" s="307" t="s">
        <v>1907</v>
      </c>
      <c r="G736" s="327" t="s">
        <v>1908</v>
      </c>
      <c r="H736" s="310" t="s">
        <v>1909</v>
      </c>
      <c r="I736" s="308" t="s">
        <v>1858</v>
      </c>
      <c r="J736" s="308" t="s">
        <v>1859</v>
      </c>
      <c r="K736" s="308">
        <v>801116</v>
      </c>
      <c r="L736" s="306" t="s">
        <v>1860</v>
      </c>
      <c r="M736" s="306" t="s">
        <v>59</v>
      </c>
      <c r="N736" s="306" t="s">
        <v>60</v>
      </c>
      <c r="O736" s="308" t="s">
        <v>1910</v>
      </c>
      <c r="P736" s="308" t="s">
        <v>1989</v>
      </c>
      <c r="Q736" s="315">
        <v>4120000</v>
      </c>
      <c r="R736" s="306">
        <v>1</v>
      </c>
      <c r="S736" s="312">
        <v>41200000</v>
      </c>
      <c r="T736" s="306" t="s">
        <v>900</v>
      </c>
      <c r="U736" s="306" t="s">
        <v>1906</v>
      </c>
      <c r="V736" s="313" t="s">
        <v>308</v>
      </c>
      <c r="W736" s="314">
        <v>10</v>
      </c>
      <c r="X736" s="306" t="s">
        <v>2230</v>
      </c>
      <c r="Y736" s="313">
        <v>43102</v>
      </c>
      <c r="Z736" s="315">
        <v>41200000</v>
      </c>
      <c r="AA736" s="316" t="s">
        <v>2231</v>
      </c>
      <c r="AB736" s="317">
        <v>398</v>
      </c>
      <c r="AC736" s="313">
        <v>43110</v>
      </c>
      <c r="AD736" s="312">
        <v>41200000</v>
      </c>
      <c r="AE736" s="318">
        <f t="shared" si="85"/>
        <v>0</v>
      </c>
      <c r="AF736" s="317">
        <v>189</v>
      </c>
      <c r="AG736" s="313">
        <v>43118</v>
      </c>
      <c r="AH736" s="312">
        <v>41200000</v>
      </c>
      <c r="AI736" s="306" t="s">
        <v>2232</v>
      </c>
      <c r="AJ736" s="306">
        <v>168</v>
      </c>
      <c r="AK736" s="318">
        <f t="shared" si="88"/>
        <v>0</v>
      </c>
      <c r="AL736" s="312">
        <f t="shared" si="83"/>
        <v>9888000</v>
      </c>
      <c r="AM736" s="312">
        <f t="shared" si="86"/>
        <v>31312000</v>
      </c>
      <c r="AN736" s="306" t="s">
        <v>1863</v>
      </c>
      <c r="AO736" s="312">
        <f t="shared" si="87"/>
        <v>0</v>
      </c>
      <c r="AP736" s="306"/>
      <c r="AQ736" s="306"/>
      <c r="AR736" s="306"/>
      <c r="AS736" s="306"/>
      <c r="AT736" s="306"/>
    </row>
    <row r="737" spans="1:46" ht="76.5" x14ac:dyDescent="0.25">
      <c r="A737" s="306">
        <v>142</v>
      </c>
      <c r="B737" s="306" t="str">
        <f t="shared" si="84"/>
        <v>3075-142</v>
      </c>
      <c r="C737" s="307" t="s">
        <v>1852</v>
      </c>
      <c r="D737" s="308" t="s">
        <v>1853</v>
      </c>
      <c r="E737" s="308" t="s">
        <v>1854</v>
      </c>
      <c r="F737" s="307" t="s">
        <v>1907</v>
      </c>
      <c r="G737" s="327" t="s">
        <v>1908</v>
      </c>
      <c r="H737" s="310" t="s">
        <v>1909</v>
      </c>
      <c r="I737" s="308" t="s">
        <v>1858</v>
      </c>
      <c r="J737" s="308" t="s">
        <v>1859</v>
      </c>
      <c r="K737" s="308">
        <v>801116</v>
      </c>
      <c r="L737" s="306" t="s">
        <v>1860</v>
      </c>
      <c r="M737" s="306" t="s">
        <v>59</v>
      </c>
      <c r="N737" s="306" t="s">
        <v>60</v>
      </c>
      <c r="O737" s="308" t="s">
        <v>1910</v>
      </c>
      <c r="P737" s="308" t="s">
        <v>2233</v>
      </c>
      <c r="Q737" s="315">
        <v>3399000</v>
      </c>
      <c r="R737" s="306">
        <v>1</v>
      </c>
      <c r="S737" s="312">
        <v>33990000</v>
      </c>
      <c r="T737" s="306" t="s">
        <v>900</v>
      </c>
      <c r="U737" s="306" t="s">
        <v>1906</v>
      </c>
      <c r="V737" s="313" t="s">
        <v>308</v>
      </c>
      <c r="W737" s="314">
        <v>10</v>
      </c>
      <c r="X737" s="306" t="s">
        <v>2234</v>
      </c>
      <c r="Y737" s="313">
        <v>43102</v>
      </c>
      <c r="Z737" s="315">
        <v>33990000</v>
      </c>
      <c r="AA737" s="316" t="s">
        <v>2235</v>
      </c>
      <c r="AB737" s="317">
        <v>448</v>
      </c>
      <c r="AC737" s="313">
        <v>43111</v>
      </c>
      <c r="AD737" s="312">
        <v>33990000</v>
      </c>
      <c r="AE737" s="318">
        <f t="shared" si="85"/>
        <v>0</v>
      </c>
      <c r="AF737" s="317">
        <v>199</v>
      </c>
      <c r="AG737" s="313">
        <v>43118</v>
      </c>
      <c r="AH737" s="312">
        <v>33990000</v>
      </c>
      <c r="AI737" s="306" t="s">
        <v>2236</v>
      </c>
      <c r="AJ737" s="306">
        <v>179</v>
      </c>
      <c r="AK737" s="318">
        <f t="shared" si="88"/>
        <v>0</v>
      </c>
      <c r="AL737" s="312">
        <f t="shared" si="83"/>
        <v>8157600</v>
      </c>
      <c r="AM737" s="312">
        <f t="shared" si="86"/>
        <v>25832400</v>
      </c>
      <c r="AN737" s="306" t="s">
        <v>1863</v>
      </c>
      <c r="AO737" s="312">
        <f t="shared" si="87"/>
        <v>0</v>
      </c>
      <c r="AP737" s="306"/>
      <c r="AQ737" s="306"/>
      <c r="AR737" s="306"/>
      <c r="AS737" s="306"/>
      <c r="AT737" s="306"/>
    </row>
    <row r="738" spans="1:46" ht="76.5" x14ac:dyDescent="0.25">
      <c r="A738" s="306">
        <v>143</v>
      </c>
      <c r="B738" s="306" t="str">
        <f t="shared" si="84"/>
        <v>3075-143</v>
      </c>
      <c r="C738" s="307" t="s">
        <v>1852</v>
      </c>
      <c r="D738" s="308" t="s">
        <v>1853</v>
      </c>
      <c r="E738" s="308" t="s">
        <v>1854</v>
      </c>
      <c r="F738" s="307" t="s">
        <v>1907</v>
      </c>
      <c r="G738" s="327" t="s">
        <v>1908</v>
      </c>
      <c r="H738" s="310" t="s">
        <v>1909</v>
      </c>
      <c r="I738" s="308" t="s">
        <v>1858</v>
      </c>
      <c r="J738" s="308" t="s">
        <v>1859</v>
      </c>
      <c r="K738" s="308">
        <v>801116</v>
      </c>
      <c r="L738" s="306" t="s">
        <v>1860</v>
      </c>
      <c r="M738" s="306" t="s">
        <v>59</v>
      </c>
      <c r="N738" s="306" t="s">
        <v>60</v>
      </c>
      <c r="O738" s="308" t="s">
        <v>1910</v>
      </c>
      <c r="P738" s="308" t="s">
        <v>1982</v>
      </c>
      <c r="Q738" s="315">
        <v>4120000</v>
      </c>
      <c r="R738" s="306">
        <v>1</v>
      </c>
      <c r="S738" s="312">
        <v>41200000</v>
      </c>
      <c r="T738" s="306" t="s">
        <v>900</v>
      </c>
      <c r="U738" s="306" t="s">
        <v>1906</v>
      </c>
      <c r="V738" s="313" t="s">
        <v>308</v>
      </c>
      <c r="W738" s="314">
        <v>10</v>
      </c>
      <c r="X738" s="306" t="s">
        <v>2237</v>
      </c>
      <c r="Y738" s="313">
        <v>43102</v>
      </c>
      <c r="Z738" s="315">
        <v>41200000</v>
      </c>
      <c r="AA738" s="316" t="s">
        <v>2186</v>
      </c>
      <c r="AB738" s="317">
        <v>399</v>
      </c>
      <c r="AC738" s="313">
        <v>43110</v>
      </c>
      <c r="AD738" s="312">
        <v>41200000</v>
      </c>
      <c r="AE738" s="318">
        <f t="shared" si="85"/>
        <v>0</v>
      </c>
      <c r="AF738" s="317">
        <v>417</v>
      </c>
      <c r="AG738" s="313">
        <v>43124</v>
      </c>
      <c r="AH738" s="312">
        <v>41200000</v>
      </c>
      <c r="AI738" s="306" t="s">
        <v>2238</v>
      </c>
      <c r="AJ738" s="306">
        <v>338</v>
      </c>
      <c r="AK738" s="318">
        <f t="shared" si="88"/>
        <v>0</v>
      </c>
      <c r="AL738" s="312">
        <f t="shared" si="83"/>
        <v>9064000</v>
      </c>
      <c r="AM738" s="312">
        <f t="shared" si="86"/>
        <v>32136000</v>
      </c>
      <c r="AN738" s="306" t="s">
        <v>1863</v>
      </c>
      <c r="AO738" s="312">
        <f t="shared" si="87"/>
        <v>0</v>
      </c>
      <c r="AP738" s="306"/>
      <c r="AQ738" s="306"/>
      <c r="AR738" s="306"/>
      <c r="AS738" s="306"/>
      <c r="AT738" s="306"/>
    </row>
    <row r="739" spans="1:46" ht="76.5" x14ac:dyDescent="0.25">
      <c r="A739" s="306">
        <v>144</v>
      </c>
      <c r="B739" s="306" t="str">
        <f t="shared" si="84"/>
        <v>3075-144</v>
      </c>
      <c r="C739" s="307" t="s">
        <v>1852</v>
      </c>
      <c r="D739" s="308" t="s">
        <v>1853</v>
      </c>
      <c r="E739" s="308" t="s">
        <v>1854</v>
      </c>
      <c r="F739" s="307" t="s">
        <v>1907</v>
      </c>
      <c r="G739" s="327" t="s">
        <v>1908</v>
      </c>
      <c r="H739" s="310" t="s">
        <v>1909</v>
      </c>
      <c r="I739" s="308" t="s">
        <v>1858</v>
      </c>
      <c r="J739" s="308" t="s">
        <v>1859</v>
      </c>
      <c r="K739" s="308">
        <v>801116</v>
      </c>
      <c r="L739" s="306" t="s">
        <v>1860</v>
      </c>
      <c r="M739" s="306" t="s">
        <v>59</v>
      </c>
      <c r="N739" s="306" t="s">
        <v>60</v>
      </c>
      <c r="O739" s="308" t="s">
        <v>1910</v>
      </c>
      <c r="P739" s="308" t="s">
        <v>1982</v>
      </c>
      <c r="Q739" s="315">
        <v>3553500</v>
      </c>
      <c r="R739" s="306">
        <v>1</v>
      </c>
      <c r="S739" s="312">
        <v>31981500</v>
      </c>
      <c r="T739" s="306" t="s">
        <v>900</v>
      </c>
      <c r="U739" s="306" t="s">
        <v>1906</v>
      </c>
      <c r="V739" s="313" t="s">
        <v>308</v>
      </c>
      <c r="W739" s="314">
        <v>9</v>
      </c>
      <c r="X739" s="306" t="s">
        <v>2239</v>
      </c>
      <c r="Y739" s="313">
        <v>43102</v>
      </c>
      <c r="Z739" s="315">
        <v>31981500</v>
      </c>
      <c r="AA739" s="316" t="s">
        <v>2183</v>
      </c>
      <c r="AB739" s="317">
        <v>401</v>
      </c>
      <c r="AC739" s="313">
        <v>43110</v>
      </c>
      <c r="AD739" s="312">
        <v>31981500</v>
      </c>
      <c r="AE739" s="318">
        <f t="shared" si="85"/>
        <v>0</v>
      </c>
      <c r="AF739" s="317">
        <v>197</v>
      </c>
      <c r="AG739" s="313">
        <v>43118</v>
      </c>
      <c r="AH739" s="312">
        <v>31981500</v>
      </c>
      <c r="AI739" s="306" t="s">
        <v>2240</v>
      </c>
      <c r="AJ739" s="306">
        <v>181</v>
      </c>
      <c r="AK739" s="318">
        <f t="shared" si="88"/>
        <v>0</v>
      </c>
      <c r="AL739" s="312">
        <f t="shared" si="83"/>
        <v>8528400</v>
      </c>
      <c r="AM739" s="312">
        <f t="shared" si="86"/>
        <v>23453100</v>
      </c>
      <c r="AN739" s="306" t="s">
        <v>1863</v>
      </c>
      <c r="AO739" s="312">
        <f t="shared" si="87"/>
        <v>0</v>
      </c>
      <c r="AP739" s="306"/>
      <c r="AQ739" s="306"/>
      <c r="AR739" s="306"/>
      <c r="AS739" s="306"/>
      <c r="AT739" s="306"/>
    </row>
    <row r="740" spans="1:46" ht="76.5" x14ac:dyDescent="0.25">
      <c r="A740" s="306">
        <v>145</v>
      </c>
      <c r="B740" s="306" t="str">
        <f t="shared" si="84"/>
        <v>3075-145</v>
      </c>
      <c r="C740" s="307" t="s">
        <v>1852</v>
      </c>
      <c r="D740" s="308" t="s">
        <v>1853</v>
      </c>
      <c r="E740" s="308" t="s">
        <v>1854</v>
      </c>
      <c r="F740" s="307" t="s">
        <v>1907</v>
      </c>
      <c r="G740" s="327" t="s">
        <v>1908</v>
      </c>
      <c r="H740" s="310" t="s">
        <v>1909</v>
      </c>
      <c r="I740" s="308" t="s">
        <v>1858</v>
      </c>
      <c r="J740" s="308" t="s">
        <v>1859</v>
      </c>
      <c r="K740" s="308">
        <v>801116</v>
      </c>
      <c r="L740" s="306" t="s">
        <v>1860</v>
      </c>
      <c r="M740" s="306" t="s">
        <v>59</v>
      </c>
      <c r="N740" s="306" t="s">
        <v>60</v>
      </c>
      <c r="O740" s="308" t="s">
        <v>1910</v>
      </c>
      <c r="P740" s="308" t="s">
        <v>2241</v>
      </c>
      <c r="Q740" s="315">
        <v>3553500</v>
      </c>
      <c r="R740" s="306">
        <v>1</v>
      </c>
      <c r="S740" s="312">
        <v>31981500</v>
      </c>
      <c r="T740" s="306" t="s">
        <v>900</v>
      </c>
      <c r="U740" s="306" t="s">
        <v>1906</v>
      </c>
      <c r="V740" s="313" t="s">
        <v>308</v>
      </c>
      <c r="W740" s="314">
        <v>9</v>
      </c>
      <c r="X740" s="306" t="s">
        <v>2242</v>
      </c>
      <c r="Y740" s="313">
        <v>43102</v>
      </c>
      <c r="Z740" s="315">
        <v>31981500</v>
      </c>
      <c r="AA740" s="316" t="s">
        <v>2183</v>
      </c>
      <c r="AB740" s="317">
        <v>402</v>
      </c>
      <c r="AC740" s="313">
        <v>43110</v>
      </c>
      <c r="AD740" s="312">
        <v>31981500</v>
      </c>
      <c r="AE740" s="318">
        <f t="shared" si="85"/>
        <v>0</v>
      </c>
      <c r="AF740" s="317">
        <v>193</v>
      </c>
      <c r="AG740" s="313">
        <v>43118</v>
      </c>
      <c r="AH740" s="312">
        <v>31981500</v>
      </c>
      <c r="AI740" s="306" t="s">
        <v>2243</v>
      </c>
      <c r="AJ740" s="306">
        <v>164</v>
      </c>
      <c r="AK740" s="318">
        <f t="shared" si="88"/>
        <v>0</v>
      </c>
      <c r="AL740" s="312">
        <f t="shared" si="83"/>
        <v>8173050</v>
      </c>
      <c r="AM740" s="312">
        <f t="shared" si="86"/>
        <v>23808450</v>
      </c>
      <c r="AN740" s="306" t="s">
        <v>1863</v>
      </c>
      <c r="AO740" s="312">
        <f t="shared" si="87"/>
        <v>0</v>
      </c>
      <c r="AP740" s="306"/>
      <c r="AQ740" s="306"/>
      <c r="AR740" s="306"/>
      <c r="AS740" s="306"/>
      <c r="AT740" s="306"/>
    </row>
    <row r="741" spans="1:46" ht="76.5" x14ac:dyDescent="0.25">
      <c r="A741" s="306">
        <v>146</v>
      </c>
      <c r="B741" s="306" t="str">
        <f t="shared" si="84"/>
        <v>3075-146</v>
      </c>
      <c r="C741" s="307" t="s">
        <v>1852</v>
      </c>
      <c r="D741" s="308" t="s">
        <v>1853</v>
      </c>
      <c r="E741" s="308" t="s">
        <v>1854</v>
      </c>
      <c r="F741" s="307" t="s">
        <v>1907</v>
      </c>
      <c r="G741" s="327" t="s">
        <v>1908</v>
      </c>
      <c r="H741" s="310" t="s">
        <v>1909</v>
      </c>
      <c r="I741" s="308" t="s">
        <v>1858</v>
      </c>
      <c r="J741" s="308" t="s">
        <v>1859</v>
      </c>
      <c r="K741" s="308">
        <v>801116</v>
      </c>
      <c r="L741" s="306" t="s">
        <v>1860</v>
      </c>
      <c r="M741" s="306" t="s">
        <v>59</v>
      </c>
      <c r="N741" s="306" t="s">
        <v>60</v>
      </c>
      <c r="O741" s="308" t="s">
        <v>1910</v>
      </c>
      <c r="P741" s="308" t="s">
        <v>2241</v>
      </c>
      <c r="Q741" s="315">
        <v>4120000</v>
      </c>
      <c r="R741" s="306">
        <v>1</v>
      </c>
      <c r="S741" s="312">
        <v>45320000</v>
      </c>
      <c r="T741" s="306" t="s">
        <v>900</v>
      </c>
      <c r="U741" s="306" t="s">
        <v>1906</v>
      </c>
      <c r="V741" s="313" t="s">
        <v>308</v>
      </c>
      <c r="W741" s="314">
        <v>11</v>
      </c>
      <c r="X741" s="306" t="s">
        <v>2244</v>
      </c>
      <c r="Y741" s="313">
        <v>43102</v>
      </c>
      <c r="Z741" s="315">
        <v>45320000</v>
      </c>
      <c r="AA741" s="316" t="s">
        <v>2186</v>
      </c>
      <c r="AB741" s="317">
        <v>403</v>
      </c>
      <c r="AC741" s="313">
        <v>43110</v>
      </c>
      <c r="AD741" s="312">
        <v>45320000</v>
      </c>
      <c r="AE741" s="318">
        <f t="shared" si="85"/>
        <v>0</v>
      </c>
      <c r="AF741" s="317">
        <v>245</v>
      </c>
      <c r="AG741" s="313">
        <v>43119</v>
      </c>
      <c r="AH741" s="312">
        <v>45320000</v>
      </c>
      <c r="AI741" s="306" t="s">
        <v>2245</v>
      </c>
      <c r="AJ741" s="306">
        <v>216</v>
      </c>
      <c r="AK741" s="318">
        <f t="shared" si="88"/>
        <v>0</v>
      </c>
      <c r="AL741" s="312">
        <f t="shared" si="83"/>
        <v>9888000</v>
      </c>
      <c r="AM741" s="312">
        <f t="shared" si="86"/>
        <v>35432000</v>
      </c>
      <c r="AN741" s="306" t="s">
        <v>1863</v>
      </c>
      <c r="AO741" s="312">
        <f t="shared" si="87"/>
        <v>0</v>
      </c>
      <c r="AP741" s="306"/>
      <c r="AQ741" s="306"/>
      <c r="AR741" s="306"/>
      <c r="AS741" s="306"/>
      <c r="AT741" s="306"/>
    </row>
    <row r="742" spans="1:46" ht="76.5" x14ac:dyDescent="0.25">
      <c r="A742" s="306">
        <v>147</v>
      </c>
      <c r="B742" s="306" t="str">
        <f t="shared" si="84"/>
        <v>3075-147</v>
      </c>
      <c r="C742" s="307" t="s">
        <v>1852</v>
      </c>
      <c r="D742" s="308" t="s">
        <v>1853</v>
      </c>
      <c r="E742" s="308" t="s">
        <v>1854</v>
      </c>
      <c r="F742" s="307" t="s">
        <v>1907</v>
      </c>
      <c r="G742" s="327" t="s">
        <v>1908</v>
      </c>
      <c r="H742" s="310" t="s">
        <v>1909</v>
      </c>
      <c r="I742" s="308" t="s">
        <v>1858</v>
      </c>
      <c r="J742" s="308" t="s">
        <v>1859</v>
      </c>
      <c r="K742" s="308">
        <v>801116</v>
      </c>
      <c r="L742" s="306" t="s">
        <v>1860</v>
      </c>
      <c r="M742" s="306" t="s">
        <v>59</v>
      </c>
      <c r="N742" s="306" t="s">
        <v>60</v>
      </c>
      <c r="O742" s="308" t="s">
        <v>1910</v>
      </c>
      <c r="P742" s="308" t="s">
        <v>1982</v>
      </c>
      <c r="Q742" s="315">
        <v>4120000</v>
      </c>
      <c r="R742" s="306">
        <v>1</v>
      </c>
      <c r="S742" s="312">
        <v>41200000</v>
      </c>
      <c r="T742" s="306" t="s">
        <v>900</v>
      </c>
      <c r="U742" s="306" t="s">
        <v>1906</v>
      </c>
      <c r="V742" s="313" t="s">
        <v>308</v>
      </c>
      <c r="W742" s="314">
        <v>9.75</v>
      </c>
      <c r="X742" s="306" t="s">
        <v>2246</v>
      </c>
      <c r="Y742" s="313">
        <v>43102</v>
      </c>
      <c r="Z742" s="315">
        <v>41200000</v>
      </c>
      <c r="AA742" s="316" t="s">
        <v>2186</v>
      </c>
      <c r="AB742" s="317">
        <v>404</v>
      </c>
      <c r="AC742" s="313">
        <v>43110</v>
      </c>
      <c r="AD742" s="312">
        <v>41200000</v>
      </c>
      <c r="AE742" s="318">
        <f t="shared" si="85"/>
        <v>0</v>
      </c>
      <c r="AF742" s="317">
        <v>271</v>
      </c>
      <c r="AG742" s="313">
        <v>43119</v>
      </c>
      <c r="AH742" s="312">
        <v>41200000</v>
      </c>
      <c r="AI742" s="306" t="s">
        <v>2247</v>
      </c>
      <c r="AJ742" s="306">
        <v>241</v>
      </c>
      <c r="AK742" s="318">
        <f t="shared" si="88"/>
        <v>0</v>
      </c>
      <c r="AL742" s="312">
        <f t="shared" si="83"/>
        <v>9476000</v>
      </c>
      <c r="AM742" s="312">
        <f t="shared" si="86"/>
        <v>31724000</v>
      </c>
      <c r="AN742" s="306" t="s">
        <v>1863</v>
      </c>
      <c r="AO742" s="312">
        <f t="shared" si="87"/>
        <v>0</v>
      </c>
      <c r="AP742" s="306"/>
      <c r="AQ742" s="306"/>
      <c r="AR742" s="306"/>
      <c r="AS742" s="306"/>
      <c r="AT742" s="306"/>
    </row>
    <row r="743" spans="1:46" ht="76.5" x14ac:dyDescent="0.25">
      <c r="A743" s="306">
        <v>148</v>
      </c>
      <c r="B743" s="306" t="str">
        <f t="shared" si="84"/>
        <v>3075-148</v>
      </c>
      <c r="C743" s="307" t="s">
        <v>1852</v>
      </c>
      <c r="D743" s="308" t="s">
        <v>1853</v>
      </c>
      <c r="E743" s="308" t="s">
        <v>1854</v>
      </c>
      <c r="F743" s="307" t="s">
        <v>1907</v>
      </c>
      <c r="G743" s="327" t="s">
        <v>1908</v>
      </c>
      <c r="H743" s="310" t="s">
        <v>1909</v>
      </c>
      <c r="I743" s="308" t="s">
        <v>1858</v>
      </c>
      <c r="J743" s="308" t="s">
        <v>1859</v>
      </c>
      <c r="K743" s="308">
        <v>801116</v>
      </c>
      <c r="L743" s="306" t="s">
        <v>1860</v>
      </c>
      <c r="M743" s="306" t="s">
        <v>59</v>
      </c>
      <c r="N743" s="306" t="s">
        <v>60</v>
      </c>
      <c r="O743" s="308" t="s">
        <v>1910</v>
      </c>
      <c r="P743" s="308" t="s">
        <v>1982</v>
      </c>
      <c r="Q743" s="315">
        <v>4120000</v>
      </c>
      <c r="R743" s="306">
        <v>1</v>
      </c>
      <c r="S743" s="312">
        <v>41200000</v>
      </c>
      <c r="T743" s="306" t="s">
        <v>900</v>
      </c>
      <c r="U743" s="306" t="s">
        <v>1906</v>
      </c>
      <c r="V743" s="313" t="s">
        <v>308</v>
      </c>
      <c r="W743" s="314">
        <v>9.75</v>
      </c>
      <c r="X743" s="306" t="s">
        <v>2248</v>
      </c>
      <c r="Y743" s="313">
        <v>43102</v>
      </c>
      <c r="Z743" s="315">
        <v>41200000</v>
      </c>
      <c r="AA743" s="316" t="s">
        <v>2186</v>
      </c>
      <c r="AB743" s="317">
        <v>406</v>
      </c>
      <c r="AC743" s="313">
        <v>43110</v>
      </c>
      <c r="AD743" s="312">
        <v>41200000</v>
      </c>
      <c r="AE743" s="318">
        <f t="shared" si="85"/>
        <v>0</v>
      </c>
      <c r="AF743" s="317">
        <v>223</v>
      </c>
      <c r="AG743" s="313">
        <v>43118</v>
      </c>
      <c r="AH743" s="312">
        <v>41200000</v>
      </c>
      <c r="AI743" s="306" t="s">
        <v>2249</v>
      </c>
      <c r="AJ743" s="306">
        <v>192</v>
      </c>
      <c r="AK743" s="318">
        <f t="shared" si="88"/>
        <v>0</v>
      </c>
      <c r="AL743" s="312">
        <f t="shared" si="83"/>
        <v>9888000</v>
      </c>
      <c r="AM743" s="312">
        <f t="shared" si="86"/>
        <v>31312000</v>
      </c>
      <c r="AN743" s="306" t="s">
        <v>1863</v>
      </c>
      <c r="AO743" s="312">
        <f t="shared" si="87"/>
        <v>0</v>
      </c>
      <c r="AP743" s="306"/>
      <c r="AQ743" s="306"/>
      <c r="AR743" s="306"/>
      <c r="AS743" s="306"/>
      <c r="AT743" s="306"/>
    </row>
    <row r="744" spans="1:46" ht="89.25" x14ac:dyDescent="0.25">
      <c r="A744" s="306">
        <v>149</v>
      </c>
      <c r="B744" s="306" t="str">
        <f t="shared" si="84"/>
        <v>3075-149</v>
      </c>
      <c r="C744" s="307" t="s">
        <v>1852</v>
      </c>
      <c r="D744" s="308" t="s">
        <v>1853</v>
      </c>
      <c r="E744" s="308" t="s">
        <v>1854</v>
      </c>
      <c r="F744" s="307" t="s">
        <v>1907</v>
      </c>
      <c r="G744" s="327" t="s">
        <v>1908</v>
      </c>
      <c r="H744" s="310" t="s">
        <v>1909</v>
      </c>
      <c r="I744" s="308" t="s">
        <v>1858</v>
      </c>
      <c r="J744" s="308" t="s">
        <v>1859</v>
      </c>
      <c r="K744" s="308">
        <v>801116</v>
      </c>
      <c r="L744" s="306" t="s">
        <v>1860</v>
      </c>
      <c r="M744" s="306" t="s">
        <v>59</v>
      </c>
      <c r="N744" s="306" t="s">
        <v>60</v>
      </c>
      <c r="O744" s="308" t="s">
        <v>1910</v>
      </c>
      <c r="P744" s="308" t="s">
        <v>1989</v>
      </c>
      <c r="Q744" s="315">
        <v>4120000</v>
      </c>
      <c r="R744" s="306">
        <v>1</v>
      </c>
      <c r="S744" s="312">
        <v>32960000</v>
      </c>
      <c r="T744" s="306" t="s">
        <v>900</v>
      </c>
      <c r="U744" s="306" t="s">
        <v>1906</v>
      </c>
      <c r="V744" s="313" t="s">
        <v>308</v>
      </c>
      <c r="W744" s="314">
        <v>8</v>
      </c>
      <c r="X744" s="306" t="s">
        <v>2250</v>
      </c>
      <c r="Y744" s="313">
        <v>43102</v>
      </c>
      <c r="Z744" s="315">
        <v>32960000</v>
      </c>
      <c r="AA744" s="316" t="s">
        <v>2231</v>
      </c>
      <c r="AB744" s="317">
        <v>407</v>
      </c>
      <c r="AC744" s="313">
        <v>43110</v>
      </c>
      <c r="AD744" s="312">
        <v>32960000</v>
      </c>
      <c r="AE744" s="318">
        <f t="shared" si="85"/>
        <v>0</v>
      </c>
      <c r="AF744" s="317">
        <v>270</v>
      </c>
      <c r="AG744" s="313">
        <v>43119</v>
      </c>
      <c r="AH744" s="312">
        <v>32960000</v>
      </c>
      <c r="AI744" s="306" t="s">
        <v>2251</v>
      </c>
      <c r="AJ744" s="306">
        <v>240</v>
      </c>
      <c r="AK744" s="318">
        <f t="shared" si="88"/>
        <v>0</v>
      </c>
      <c r="AL744" s="312">
        <f t="shared" si="83"/>
        <v>9476000</v>
      </c>
      <c r="AM744" s="312">
        <f t="shared" si="86"/>
        <v>23484000</v>
      </c>
      <c r="AN744" s="306" t="s">
        <v>1863</v>
      </c>
      <c r="AO744" s="312">
        <f t="shared" si="87"/>
        <v>0</v>
      </c>
      <c r="AP744" s="306"/>
      <c r="AQ744" s="306"/>
      <c r="AR744" s="306"/>
      <c r="AS744" s="306"/>
      <c r="AT744" s="306"/>
    </row>
    <row r="745" spans="1:46" ht="76.5" x14ac:dyDescent="0.25">
      <c r="A745" s="306">
        <v>150</v>
      </c>
      <c r="B745" s="306" t="str">
        <f t="shared" si="84"/>
        <v>3075-150</v>
      </c>
      <c r="C745" s="307" t="s">
        <v>1852</v>
      </c>
      <c r="D745" s="308" t="s">
        <v>1853</v>
      </c>
      <c r="E745" s="308" t="s">
        <v>1854</v>
      </c>
      <c r="F745" s="307" t="s">
        <v>1907</v>
      </c>
      <c r="G745" s="327" t="s">
        <v>1908</v>
      </c>
      <c r="H745" s="310" t="s">
        <v>1909</v>
      </c>
      <c r="I745" s="308" t="s">
        <v>1858</v>
      </c>
      <c r="J745" s="308" t="s">
        <v>1859</v>
      </c>
      <c r="K745" s="308">
        <v>801116</v>
      </c>
      <c r="L745" s="306" t="s">
        <v>1860</v>
      </c>
      <c r="M745" s="306" t="s">
        <v>59</v>
      </c>
      <c r="N745" s="306" t="s">
        <v>60</v>
      </c>
      <c r="O745" s="308" t="s">
        <v>1910</v>
      </c>
      <c r="P745" s="308" t="s">
        <v>2252</v>
      </c>
      <c r="Q745" s="315">
        <v>3399000</v>
      </c>
      <c r="R745" s="306">
        <v>1</v>
      </c>
      <c r="S745" s="312">
        <v>30591000</v>
      </c>
      <c r="T745" s="306" t="s">
        <v>900</v>
      </c>
      <c r="U745" s="306" t="s">
        <v>1906</v>
      </c>
      <c r="V745" s="313" t="s">
        <v>308</v>
      </c>
      <c r="W745" s="314">
        <v>9</v>
      </c>
      <c r="X745" s="306" t="s">
        <v>2253</v>
      </c>
      <c r="Y745" s="313">
        <v>43102</v>
      </c>
      <c r="Z745" s="315">
        <v>30591000</v>
      </c>
      <c r="AA745" s="316" t="s">
        <v>2235</v>
      </c>
      <c r="AB745" s="317">
        <v>358</v>
      </c>
      <c r="AC745" s="313">
        <v>43110</v>
      </c>
      <c r="AD745" s="312">
        <v>30591000</v>
      </c>
      <c r="AE745" s="318">
        <f t="shared" si="85"/>
        <v>0</v>
      </c>
      <c r="AF745" s="317">
        <v>256</v>
      </c>
      <c r="AG745" s="313">
        <v>43119</v>
      </c>
      <c r="AH745" s="312">
        <v>30591000</v>
      </c>
      <c r="AI745" s="306" t="s">
        <v>2254</v>
      </c>
      <c r="AJ745" s="306">
        <v>224</v>
      </c>
      <c r="AK745" s="318">
        <f t="shared" si="88"/>
        <v>0</v>
      </c>
      <c r="AL745" s="312">
        <f t="shared" si="83"/>
        <v>7817700</v>
      </c>
      <c r="AM745" s="312">
        <f t="shared" si="86"/>
        <v>22773300</v>
      </c>
      <c r="AN745" s="306" t="s">
        <v>1863</v>
      </c>
      <c r="AO745" s="312">
        <f t="shared" si="87"/>
        <v>0</v>
      </c>
      <c r="AP745" s="306"/>
      <c r="AQ745" s="306"/>
      <c r="AR745" s="306"/>
      <c r="AS745" s="306"/>
      <c r="AT745" s="306"/>
    </row>
    <row r="746" spans="1:46" ht="76.5" x14ac:dyDescent="0.25">
      <c r="A746" s="306">
        <v>151</v>
      </c>
      <c r="B746" s="306" t="str">
        <f t="shared" si="84"/>
        <v>3075-151</v>
      </c>
      <c r="C746" s="307" t="s">
        <v>1852</v>
      </c>
      <c r="D746" s="308" t="s">
        <v>1853</v>
      </c>
      <c r="E746" s="308" t="s">
        <v>1854</v>
      </c>
      <c r="F746" s="307" t="s">
        <v>1907</v>
      </c>
      <c r="G746" s="327" t="s">
        <v>1908</v>
      </c>
      <c r="H746" s="310" t="s">
        <v>1909</v>
      </c>
      <c r="I746" s="308" t="s">
        <v>1858</v>
      </c>
      <c r="J746" s="308" t="s">
        <v>1859</v>
      </c>
      <c r="K746" s="308">
        <v>801116</v>
      </c>
      <c r="L746" s="306" t="s">
        <v>1860</v>
      </c>
      <c r="M746" s="306" t="s">
        <v>59</v>
      </c>
      <c r="N746" s="306" t="s">
        <v>60</v>
      </c>
      <c r="O746" s="308" t="s">
        <v>1910</v>
      </c>
      <c r="P746" s="308" t="s">
        <v>2255</v>
      </c>
      <c r="Q746" s="315">
        <v>3553500</v>
      </c>
      <c r="R746" s="306">
        <v>1</v>
      </c>
      <c r="S746" s="312">
        <v>39088500</v>
      </c>
      <c r="T746" s="306" t="s">
        <v>900</v>
      </c>
      <c r="U746" s="306" t="s">
        <v>1906</v>
      </c>
      <c r="V746" s="313" t="s">
        <v>308</v>
      </c>
      <c r="W746" s="314">
        <v>11</v>
      </c>
      <c r="X746" s="306" t="s">
        <v>2256</v>
      </c>
      <c r="Y746" s="313">
        <v>43102</v>
      </c>
      <c r="Z746" s="315">
        <v>39088500</v>
      </c>
      <c r="AA746" s="316" t="s">
        <v>2183</v>
      </c>
      <c r="AB746" s="317">
        <v>408</v>
      </c>
      <c r="AC746" s="313">
        <v>43110</v>
      </c>
      <c r="AD746" s="312">
        <v>39088500</v>
      </c>
      <c r="AE746" s="318">
        <f t="shared" si="85"/>
        <v>0</v>
      </c>
      <c r="AF746" s="317">
        <v>330</v>
      </c>
      <c r="AG746" s="313">
        <v>43123</v>
      </c>
      <c r="AH746" s="312">
        <v>39088500</v>
      </c>
      <c r="AI746" s="306" t="s">
        <v>2257</v>
      </c>
      <c r="AJ746" s="306">
        <v>289</v>
      </c>
      <c r="AK746" s="318">
        <f t="shared" si="88"/>
        <v>0</v>
      </c>
      <c r="AL746" s="312">
        <f t="shared" si="83"/>
        <v>8054600</v>
      </c>
      <c r="AM746" s="312">
        <f t="shared" si="86"/>
        <v>31033900</v>
      </c>
      <c r="AN746" s="306" t="s">
        <v>1863</v>
      </c>
      <c r="AO746" s="312">
        <f t="shared" si="87"/>
        <v>0</v>
      </c>
      <c r="AP746" s="306"/>
      <c r="AQ746" s="306"/>
      <c r="AR746" s="306"/>
      <c r="AS746" s="306"/>
      <c r="AT746" s="306"/>
    </row>
    <row r="747" spans="1:46" ht="76.5" x14ac:dyDescent="0.25">
      <c r="A747" s="306">
        <v>152</v>
      </c>
      <c r="B747" s="306" t="str">
        <f t="shared" si="84"/>
        <v>3075-152</v>
      </c>
      <c r="C747" s="307" t="s">
        <v>1852</v>
      </c>
      <c r="D747" s="308" t="s">
        <v>1853</v>
      </c>
      <c r="E747" s="308" t="s">
        <v>1854</v>
      </c>
      <c r="F747" s="307" t="s">
        <v>1907</v>
      </c>
      <c r="G747" s="327" t="s">
        <v>1908</v>
      </c>
      <c r="H747" s="310" t="s">
        <v>1909</v>
      </c>
      <c r="I747" s="308" t="s">
        <v>1858</v>
      </c>
      <c r="J747" s="308" t="s">
        <v>1859</v>
      </c>
      <c r="K747" s="308">
        <v>801116</v>
      </c>
      <c r="L747" s="306" t="s">
        <v>1860</v>
      </c>
      <c r="M747" s="306" t="s">
        <v>59</v>
      </c>
      <c r="N747" s="306" t="s">
        <v>60</v>
      </c>
      <c r="O747" s="308" t="s">
        <v>1910</v>
      </c>
      <c r="P747" s="308" t="s">
        <v>2258</v>
      </c>
      <c r="Q747" s="315">
        <v>3038500</v>
      </c>
      <c r="R747" s="306">
        <v>1</v>
      </c>
      <c r="S747" s="312">
        <v>30385000</v>
      </c>
      <c r="T747" s="306" t="s">
        <v>934</v>
      </c>
      <c r="U747" s="306" t="s">
        <v>1906</v>
      </c>
      <c r="V747" s="313" t="s">
        <v>308</v>
      </c>
      <c r="W747" s="314">
        <v>10</v>
      </c>
      <c r="X747" s="306" t="s">
        <v>2259</v>
      </c>
      <c r="Y747" s="313">
        <v>43102</v>
      </c>
      <c r="Z747" s="315">
        <v>30385000</v>
      </c>
      <c r="AA747" s="316" t="s">
        <v>2260</v>
      </c>
      <c r="AB747" s="317">
        <v>410</v>
      </c>
      <c r="AC747" s="313">
        <v>43110</v>
      </c>
      <c r="AD747" s="312">
        <v>30385000</v>
      </c>
      <c r="AE747" s="318">
        <f t="shared" si="85"/>
        <v>0</v>
      </c>
      <c r="AF747" s="317">
        <v>382</v>
      </c>
      <c r="AG747" s="313">
        <v>43124</v>
      </c>
      <c r="AH747" s="312">
        <v>30385000</v>
      </c>
      <c r="AI747" s="306" t="s">
        <v>2261</v>
      </c>
      <c r="AJ747" s="306">
        <v>323</v>
      </c>
      <c r="AK747" s="318">
        <f t="shared" si="88"/>
        <v>0</v>
      </c>
      <c r="AL747" s="312">
        <f t="shared" si="83"/>
        <v>6785983</v>
      </c>
      <c r="AM747" s="312">
        <f t="shared" si="86"/>
        <v>23599017</v>
      </c>
      <c r="AN747" s="306" t="s">
        <v>1863</v>
      </c>
      <c r="AO747" s="312">
        <f t="shared" si="87"/>
        <v>0</v>
      </c>
      <c r="AP747" s="306"/>
      <c r="AQ747" s="306"/>
      <c r="AR747" s="306"/>
      <c r="AS747" s="306"/>
      <c r="AT747" s="306"/>
    </row>
    <row r="748" spans="1:46" ht="76.5" x14ac:dyDescent="0.25">
      <c r="A748" s="306">
        <v>153</v>
      </c>
      <c r="B748" s="306" t="str">
        <f t="shared" si="84"/>
        <v>3075-153</v>
      </c>
      <c r="C748" s="307" t="s">
        <v>1852</v>
      </c>
      <c r="D748" s="308" t="s">
        <v>1853</v>
      </c>
      <c r="E748" s="308" t="s">
        <v>1854</v>
      </c>
      <c r="F748" s="307" t="s">
        <v>1907</v>
      </c>
      <c r="G748" s="327" t="s">
        <v>1908</v>
      </c>
      <c r="H748" s="310" t="s">
        <v>1909</v>
      </c>
      <c r="I748" s="308" t="s">
        <v>1858</v>
      </c>
      <c r="J748" s="308" t="s">
        <v>1859</v>
      </c>
      <c r="K748" s="308">
        <v>801116</v>
      </c>
      <c r="L748" s="306" t="s">
        <v>1860</v>
      </c>
      <c r="M748" s="306" t="s">
        <v>59</v>
      </c>
      <c r="N748" s="306" t="s">
        <v>60</v>
      </c>
      <c r="O748" s="308" t="s">
        <v>1910</v>
      </c>
      <c r="P748" s="308" t="s">
        <v>2262</v>
      </c>
      <c r="Q748" s="315">
        <v>3038500</v>
      </c>
      <c r="R748" s="306">
        <v>1</v>
      </c>
      <c r="S748" s="312">
        <v>24308000</v>
      </c>
      <c r="T748" s="306" t="s">
        <v>934</v>
      </c>
      <c r="U748" s="306" t="s">
        <v>1906</v>
      </c>
      <c r="V748" s="313" t="s">
        <v>308</v>
      </c>
      <c r="W748" s="314">
        <v>8</v>
      </c>
      <c r="X748" s="306" t="s">
        <v>2263</v>
      </c>
      <c r="Y748" s="313">
        <v>43102</v>
      </c>
      <c r="Z748" s="315">
        <v>24308000</v>
      </c>
      <c r="AA748" s="316" t="s">
        <v>2260</v>
      </c>
      <c r="AB748" s="317">
        <v>201</v>
      </c>
      <c r="AC748" s="313">
        <v>43105</v>
      </c>
      <c r="AD748" s="312">
        <v>24308000</v>
      </c>
      <c r="AE748" s="318">
        <f t="shared" si="85"/>
        <v>0</v>
      </c>
      <c r="AF748" s="317">
        <v>344</v>
      </c>
      <c r="AG748" s="313">
        <v>43123</v>
      </c>
      <c r="AH748" s="312">
        <v>24308000</v>
      </c>
      <c r="AI748" s="306" t="s">
        <v>2264</v>
      </c>
      <c r="AJ748" s="306">
        <v>293</v>
      </c>
      <c r="AK748" s="318">
        <f t="shared" si="88"/>
        <v>0</v>
      </c>
      <c r="AL748" s="312">
        <f t="shared" si="83"/>
        <v>6785983</v>
      </c>
      <c r="AM748" s="312">
        <f t="shared" si="86"/>
        <v>17522017</v>
      </c>
      <c r="AN748" s="306" t="s">
        <v>1863</v>
      </c>
      <c r="AO748" s="312">
        <f t="shared" si="87"/>
        <v>0</v>
      </c>
      <c r="AP748" s="306"/>
      <c r="AQ748" s="306"/>
      <c r="AR748" s="306"/>
      <c r="AS748" s="306"/>
      <c r="AT748" s="306"/>
    </row>
    <row r="749" spans="1:46" ht="76.5" x14ac:dyDescent="0.25">
      <c r="A749" s="306">
        <v>154</v>
      </c>
      <c r="B749" s="306" t="str">
        <f t="shared" si="84"/>
        <v>3075-154</v>
      </c>
      <c r="C749" s="307" t="s">
        <v>1852</v>
      </c>
      <c r="D749" s="308" t="s">
        <v>1853</v>
      </c>
      <c r="E749" s="308" t="s">
        <v>1854</v>
      </c>
      <c r="F749" s="307" t="s">
        <v>1907</v>
      </c>
      <c r="G749" s="327" t="s">
        <v>1908</v>
      </c>
      <c r="H749" s="310" t="s">
        <v>1909</v>
      </c>
      <c r="I749" s="308" t="s">
        <v>1858</v>
      </c>
      <c r="J749" s="308" t="s">
        <v>1859</v>
      </c>
      <c r="K749" s="308">
        <v>801116</v>
      </c>
      <c r="L749" s="306" t="s">
        <v>1860</v>
      </c>
      <c r="M749" s="306" t="s">
        <v>59</v>
      </c>
      <c r="N749" s="306" t="s">
        <v>60</v>
      </c>
      <c r="O749" s="308" t="s">
        <v>1910</v>
      </c>
      <c r="P749" s="308" t="s">
        <v>2004</v>
      </c>
      <c r="Q749" s="315">
        <v>4120000</v>
      </c>
      <c r="R749" s="306">
        <v>1</v>
      </c>
      <c r="S749" s="312">
        <v>37080000</v>
      </c>
      <c r="T749" s="306" t="s">
        <v>900</v>
      </c>
      <c r="U749" s="306" t="s">
        <v>1906</v>
      </c>
      <c r="V749" s="313" t="s">
        <v>308</v>
      </c>
      <c r="W749" s="314">
        <v>9</v>
      </c>
      <c r="X749" s="306" t="s">
        <v>2265</v>
      </c>
      <c r="Y749" s="313">
        <v>43102</v>
      </c>
      <c r="Z749" s="315">
        <v>37080000</v>
      </c>
      <c r="AA749" s="316" t="s">
        <v>2192</v>
      </c>
      <c r="AB749" s="317">
        <v>204</v>
      </c>
      <c r="AC749" s="313">
        <v>43105</v>
      </c>
      <c r="AD749" s="312">
        <v>37080000</v>
      </c>
      <c r="AE749" s="318">
        <f t="shared" si="85"/>
        <v>0</v>
      </c>
      <c r="AF749" s="317">
        <v>348</v>
      </c>
      <c r="AG749" s="313">
        <v>43123</v>
      </c>
      <c r="AH749" s="312">
        <v>37080000</v>
      </c>
      <c r="AI749" s="306" t="s">
        <v>2266</v>
      </c>
      <c r="AJ749" s="306">
        <v>295</v>
      </c>
      <c r="AK749" s="318">
        <f t="shared" si="88"/>
        <v>0</v>
      </c>
      <c r="AL749" s="312">
        <f t="shared" si="83"/>
        <v>5905333</v>
      </c>
      <c r="AM749" s="312">
        <f t="shared" si="86"/>
        <v>31174667</v>
      </c>
      <c r="AN749" s="306" t="s">
        <v>1863</v>
      </c>
      <c r="AO749" s="312">
        <f t="shared" si="87"/>
        <v>0</v>
      </c>
      <c r="AP749" s="306"/>
      <c r="AQ749" s="306"/>
      <c r="AR749" s="306"/>
      <c r="AS749" s="306"/>
      <c r="AT749" s="306"/>
    </row>
    <row r="750" spans="1:46" ht="76.5" x14ac:dyDescent="0.25">
      <c r="A750" s="306">
        <v>155</v>
      </c>
      <c r="B750" s="306" t="str">
        <f t="shared" si="84"/>
        <v>3075-155</v>
      </c>
      <c r="C750" s="307" t="s">
        <v>1852</v>
      </c>
      <c r="D750" s="308" t="s">
        <v>1853</v>
      </c>
      <c r="E750" s="308" t="s">
        <v>1854</v>
      </c>
      <c r="F750" s="307" t="s">
        <v>1907</v>
      </c>
      <c r="G750" s="327" t="s">
        <v>1908</v>
      </c>
      <c r="H750" s="310" t="s">
        <v>1909</v>
      </c>
      <c r="I750" s="308" t="s">
        <v>1858</v>
      </c>
      <c r="J750" s="308" t="s">
        <v>1859</v>
      </c>
      <c r="K750" s="308">
        <v>801116</v>
      </c>
      <c r="L750" s="306" t="s">
        <v>1860</v>
      </c>
      <c r="M750" s="306" t="s">
        <v>59</v>
      </c>
      <c r="N750" s="306" t="s">
        <v>60</v>
      </c>
      <c r="O750" s="308" t="s">
        <v>1910</v>
      </c>
      <c r="P750" s="308" t="s">
        <v>2267</v>
      </c>
      <c r="Q750" s="315">
        <v>4120000</v>
      </c>
      <c r="R750" s="306">
        <v>1</v>
      </c>
      <c r="S750" s="312">
        <v>41200000</v>
      </c>
      <c r="T750" s="306" t="s">
        <v>900</v>
      </c>
      <c r="U750" s="306" t="s">
        <v>1906</v>
      </c>
      <c r="V750" s="313" t="s">
        <v>308</v>
      </c>
      <c r="W750" s="314">
        <v>9.75</v>
      </c>
      <c r="X750" s="306" t="s">
        <v>2268</v>
      </c>
      <c r="Y750" s="313">
        <v>43102</v>
      </c>
      <c r="Z750" s="315">
        <v>41200000</v>
      </c>
      <c r="AA750" s="316" t="s">
        <v>2210</v>
      </c>
      <c r="AB750" s="317">
        <v>206</v>
      </c>
      <c r="AC750" s="313">
        <v>43105</v>
      </c>
      <c r="AD750" s="312">
        <v>41200000</v>
      </c>
      <c r="AE750" s="318">
        <f t="shared" si="85"/>
        <v>0</v>
      </c>
      <c r="AF750" s="317">
        <v>397</v>
      </c>
      <c r="AG750" s="313">
        <v>43124</v>
      </c>
      <c r="AH750" s="312">
        <v>41200000</v>
      </c>
      <c r="AI750" s="306" t="s">
        <v>2269</v>
      </c>
      <c r="AJ750" s="306">
        <v>318</v>
      </c>
      <c r="AK750" s="318">
        <f t="shared" si="88"/>
        <v>0</v>
      </c>
      <c r="AL750" s="312">
        <f t="shared" si="83"/>
        <v>9201333</v>
      </c>
      <c r="AM750" s="312">
        <f t="shared" si="86"/>
        <v>31998667</v>
      </c>
      <c r="AN750" s="306" t="s">
        <v>1863</v>
      </c>
      <c r="AO750" s="312">
        <f t="shared" si="87"/>
        <v>0</v>
      </c>
      <c r="AP750" s="306"/>
      <c r="AQ750" s="306"/>
      <c r="AR750" s="306"/>
      <c r="AS750" s="306"/>
      <c r="AT750" s="306"/>
    </row>
    <row r="751" spans="1:46" ht="76.5" x14ac:dyDescent="0.25">
      <c r="A751" s="306">
        <v>156</v>
      </c>
      <c r="B751" s="306" t="str">
        <f t="shared" si="84"/>
        <v>3075-156</v>
      </c>
      <c r="C751" s="307" t="s">
        <v>1852</v>
      </c>
      <c r="D751" s="308" t="s">
        <v>1853</v>
      </c>
      <c r="E751" s="308" t="s">
        <v>1854</v>
      </c>
      <c r="F751" s="307" t="s">
        <v>1907</v>
      </c>
      <c r="G751" s="327" t="s">
        <v>1908</v>
      </c>
      <c r="H751" s="310" t="s">
        <v>1909</v>
      </c>
      <c r="I751" s="308" t="s">
        <v>1858</v>
      </c>
      <c r="J751" s="308" t="s">
        <v>1859</v>
      </c>
      <c r="K751" s="308">
        <v>801116</v>
      </c>
      <c r="L751" s="306" t="s">
        <v>1860</v>
      </c>
      <c r="M751" s="306" t="s">
        <v>59</v>
      </c>
      <c r="N751" s="306" t="s">
        <v>60</v>
      </c>
      <c r="O751" s="308" t="s">
        <v>1910</v>
      </c>
      <c r="P751" s="308" t="s">
        <v>2252</v>
      </c>
      <c r="Q751" s="315">
        <v>4120000</v>
      </c>
      <c r="R751" s="306">
        <v>1</v>
      </c>
      <c r="S751" s="312">
        <v>41200000</v>
      </c>
      <c r="T751" s="306" t="s">
        <v>900</v>
      </c>
      <c r="U751" s="306" t="s">
        <v>1906</v>
      </c>
      <c r="V751" s="313" t="s">
        <v>308</v>
      </c>
      <c r="W751" s="314">
        <v>9.75</v>
      </c>
      <c r="X751" s="306" t="s">
        <v>2270</v>
      </c>
      <c r="Y751" s="313">
        <v>43102</v>
      </c>
      <c r="Z751" s="315">
        <v>41200000</v>
      </c>
      <c r="AA751" s="316" t="s">
        <v>2186</v>
      </c>
      <c r="AB751" s="317">
        <v>210</v>
      </c>
      <c r="AC751" s="313">
        <v>43105</v>
      </c>
      <c r="AD751" s="312">
        <v>41200000</v>
      </c>
      <c r="AE751" s="318">
        <f t="shared" si="85"/>
        <v>0</v>
      </c>
      <c r="AF751" s="317">
        <v>261</v>
      </c>
      <c r="AG751" s="313">
        <v>43119</v>
      </c>
      <c r="AH751" s="312">
        <v>41200000</v>
      </c>
      <c r="AI751" s="306" t="s">
        <v>2271</v>
      </c>
      <c r="AJ751" s="306">
        <v>227</v>
      </c>
      <c r="AK751" s="318">
        <f t="shared" si="88"/>
        <v>0</v>
      </c>
      <c r="AL751" s="312">
        <f t="shared" si="83"/>
        <v>9476000</v>
      </c>
      <c r="AM751" s="312">
        <f t="shared" si="86"/>
        <v>31724000</v>
      </c>
      <c r="AN751" s="306" t="s">
        <v>1863</v>
      </c>
      <c r="AO751" s="312">
        <f t="shared" si="87"/>
        <v>0</v>
      </c>
      <c r="AP751" s="306"/>
      <c r="AQ751" s="306"/>
      <c r="AR751" s="306"/>
      <c r="AS751" s="306"/>
      <c r="AT751" s="306"/>
    </row>
    <row r="752" spans="1:46" ht="76.5" x14ac:dyDescent="0.25">
      <c r="A752" s="306">
        <v>157</v>
      </c>
      <c r="B752" s="306" t="str">
        <f t="shared" si="84"/>
        <v>3075-157</v>
      </c>
      <c r="C752" s="307" t="s">
        <v>1852</v>
      </c>
      <c r="D752" s="308" t="s">
        <v>1853</v>
      </c>
      <c r="E752" s="308" t="s">
        <v>1854</v>
      </c>
      <c r="F752" s="307" t="s">
        <v>1907</v>
      </c>
      <c r="G752" s="327" t="s">
        <v>1908</v>
      </c>
      <c r="H752" s="310" t="s">
        <v>1909</v>
      </c>
      <c r="I752" s="308" t="s">
        <v>1858</v>
      </c>
      <c r="J752" s="308" t="s">
        <v>1859</v>
      </c>
      <c r="K752" s="308">
        <v>801116</v>
      </c>
      <c r="L752" s="306" t="s">
        <v>1860</v>
      </c>
      <c r="M752" s="306" t="s">
        <v>59</v>
      </c>
      <c r="N752" s="306" t="s">
        <v>60</v>
      </c>
      <c r="O752" s="308" t="s">
        <v>1910</v>
      </c>
      <c r="P752" s="308" t="s">
        <v>1982</v>
      </c>
      <c r="Q752" s="315">
        <v>4120000</v>
      </c>
      <c r="R752" s="306">
        <v>1</v>
      </c>
      <c r="S752" s="312">
        <v>37080000</v>
      </c>
      <c r="T752" s="306" t="s">
        <v>900</v>
      </c>
      <c r="U752" s="306" t="s">
        <v>1906</v>
      </c>
      <c r="V752" s="313" t="s">
        <v>308</v>
      </c>
      <c r="W752" s="314">
        <v>9</v>
      </c>
      <c r="X752" s="306" t="s">
        <v>2272</v>
      </c>
      <c r="Y752" s="313">
        <v>43102</v>
      </c>
      <c r="Z752" s="315">
        <v>37080000</v>
      </c>
      <c r="AA752" s="316" t="s">
        <v>2186</v>
      </c>
      <c r="AB752" s="317">
        <v>411</v>
      </c>
      <c r="AC752" s="313">
        <v>43110</v>
      </c>
      <c r="AD752" s="312">
        <v>37080000</v>
      </c>
      <c r="AE752" s="318">
        <f t="shared" si="85"/>
        <v>0</v>
      </c>
      <c r="AF752" s="317">
        <v>377</v>
      </c>
      <c r="AG752" s="313">
        <v>43124</v>
      </c>
      <c r="AH752" s="312">
        <v>37080000</v>
      </c>
      <c r="AI752" s="306" t="s">
        <v>2273</v>
      </c>
      <c r="AJ752" s="306">
        <v>327</v>
      </c>
      <c r="AK752" s="318">
        <f t="shared" si="88"/>
        <v>0</v>
      </c>
      <c r="AL752" s="312">
        <f t="shared" si="83"/>
        <v>2746666</v>
      </c>
      <c r="AM752" s="312">
        <f t="shared" si="86"/>
        <v>34333334</v>
      </c>
      <c r="AN752" s="306" t="s">
        <v>1863</v>
      </c>
      <c r="AO752" s="312">
        <f t="shared" si="87"/>
        <v>0</v>
      </c>
      <c r="AP752" s="306"/>
      <c r="AQ752" s="306"/>
      <c r="AR752" s="306"/>
      <c r="AS752" s="306"/>
      <c r="AT752" s="306"/>
    </row>
    <row r="753" spans="1:46" ht="76.5" x14ac:dyDescent="0.25">
      <c r="A753" s="306">
        <v>158</v>
      </c>
      <c r="B753" s="306" t="str">
        <f t="shared" si="84"/>
        <v>3075-158</v>
      </c>
      <c r="C753" s="307" t="s">
        <v>1852</v>
      </c>
      <c r="D753" s="308" t="s">
        <v>1853</v>
      </c>
      <c r="E753" s="308" t="s">
        <v>1854</v>
      </c>
      <c r="F753" s="307" t="s">
        <v>1907</v>
      </c>
      <c r="G753" s="327" t="s">
        <v>1908</v>
      </c>
      <c r="H753" s="310" t="s">
        <v>1909</v>
      </c>
      <c r="I753" s="308" t="s">
        <v>1858</v>
      </c>
      <c r="J753" s="308" t="s">
        <v>1859</v>
      </c>
      <c r="K753" s="308">
        <v>801116</v>
      </c>
      <c r="L753" s="306" t="s">
        <v>1860</v>
      </c>
      <c r="M753" s="306" t="s">
        <v>59</v>
      </c>
      <c r="N753" s="306" t="s">
        <v>60</v>
      </c>
      <c r="O753" s="308" t="s">
        <v>1910</v>
      </c>
      <c r="P753" s="308" t="s">
        <v>1993</v>
      </c>
      <c r="Q753" s="315">
        <v>4120000</v>
      </c>
      <c r="R753" s="306">
        <v>1</v>
      </c>
      <c r="S753" s="312">
        <v>32960000</v>
      </c>
      <c r="T753" s="306" t="s">
        <v>900</v>
      </c>
      <c r="U753" s="306" t="s">
        <v>1906</v>
      </c>
      <c r="V753" s="313" t="s">
        <v>308</v>
      </c>
      <c r="W753" s="314">
        <v>8</v>
      </c>
      <c r="X753" s="306" t="s">
        <v>2274</v>
      </c>
      <c r="Y753" s="313">
        <v>43102</v>
      </c>
      <c r="Z753" s="315">
        <v>32960000</v>
      </c>
      <c r="AA753" s="316" t="s">
        <v>2206</v>
      </c>
      <c r="AB753" s="317">
        <v>213</v>
      </c>
      <c r="AC753" s="313">
        <v>43105</v>
      </c>
      <c r="AD753" s="312">
        <v>32960000</v>
      </c>
      <c r="AE753" s="318">
        <f t="shared" si="85"/>
        <v>0</v>
      </c>
      <c r="AF753" s="317">
        <v>350</v>
      </c>
      <c r="AG753" s="313">
        <v>43123</v>
      </c>
      <c r="AH753" s="312">
        <v>32960000</v>
      </c>
      <c r="AI753" s="306" t="s">
        <v>2275</v>
      </c>
      <c r="AJ753" s="306">
        <v>296</v>
      </c>
      <c r="AK753" s="318">
        <f t="shared" si="88"/>
        <v>0</v>
      </c>
      <c r="AL753" s="312">
        <f t="shared" si="83"/>
        <v>9201333</v>
      </c>
      <c r="AM753" s="312">
        <f t="shared" si="86"/>
        <v>23758667</v>
      </c>
      <c r="AN753" s="306" t="s">
        <v>1863</v>
      </c>
      <c r="AO753" s="312">
        <f t="shared" si="87"/>
        <v>0</v>
      </c>
      <c r="AP753" s="306"/>
      <c r="AQ753" s="306"/>
      <c r="AR753" s="306"/>
      <c r="AS753" s="306"/>
      <c r="AT753" s="306"/>
    </row>
    <row r="754" spans="1:46" ht="76.5" x14ac:dyDescent="0.25">
      <c r="A754" s="306">
        <v>159</v>
      </c>
      <c r="B754" s="306" t="str">
        <f t="shared" si="84"/>
        <v>3075-159</v>
      </c>
      <c r="C754" s="307" t="s">
        <v>1852</v>
      </c>
      <c r="D754" s="308" t="s">
        <v>1853</v>
      </c>
      <c r="E754" s="308" t="s">
        <v>1854</v>
      </c>
      <c r="F754" s="307" t="s">
        <v>1907</v>
      </c>
      <c r="G754" s="327" t="s">
        <v>1908</v>
      </c>
      <c r="H754" s="310" t="s">
        <v>1909</v>
      </c>
      <c r="I754" s="308" t="s">
        <v>1858</v>
      </c>
      <c r="J754" s="308" t="s">
        <v>1859</v>
      </c>
      <c r="K754" s="308">
        <v>801116</v>
      </c>
      <c r="L754" s="306" t="s">
        <v>1860</v>
      </c>
      <c r="M754" s="306" t="s">
        <v>59</v>
      </c>
      <c r="N754" s="306" t="s">
        <v>60</v>
      </c>
      <c r="O754" s="308" t="s">
        <v>1910</v>
      </c>
      <c r="P754" s="308" t="s">
        <v>1967</v>
      </c>
      <c r="Q754" s="315">
        <v>1751000</v>
      </c>
      <c r="R754" s="306">
        <v>1</v>
      </c>
      <c r="S754" s="312">
        <v>19261000</v>
      </c>
      <c r="T754" s="306" t="s">
        <v>934</v>
      </c>
      <c r="U754" s="306" t="s">
        <v>1906</v>
      </c>
      <c r="V754" s="313" t="s">
        <v>308</v>
      </c>
      <c r="W754" s="314">
        <v>11</v>
      </c>
      <c r="X754" s="306" t="s">
        <v>2276</v>
      </c>
      <c r="Y754" s="313">
        <v>43102</v>
      </c>
      <c r="Z754" s="315">
        <v>19261000</v>
      </c>
      <c r="AA754" s="316" t="s">
        <v>2195</v>
      </c>
      <c r="AB754" s="317">
        <v>215</v>
      </c>
      <c r="AC754" s="313">
        <v>43105</v>
      </c>
      <c r="AD754" s="312">
        <v>19261000</v>
      </c>
      <c r="AE754" s="318">
        <f t="shared" si="85"/>
        <v>0</v>
      </c>
      <c r="AF754" s="317">
        <v>288</v>
      </c>
      <c r="AG754" s="313">
        <v>43122</v>
      </c>
      <c r="AH754" s="312">
        <v>19261000</v>
      </c>
      <c r="AI754" s="306" t="s">
        <v>2277</v>
      </c>
      <c r="AJ754" s="306">
        <v>257</v>
      </c>
      <c r="AK754" s="318">
        <f t="shared" si="88"/>
        <v>0</v>
      </c>
      <c r="AL754" s="312">
        <f t="shared" si="83"/>
        <v>4027300</v>
      </c>
      <c r="AM754" s="312">
        <f t="shared" si="86"/>
        <v>15233700</v>
      </c>
      <c r="AN754" s="306" t="s">
        <v>1863</v>
      </c>
      <c r="AO754" s="312">
        <f t="shared" si="87"/>
        <v>0</v>
      </c>
      <c r="AP754" s="306"/>
      <c r="AQ754" s="306"/>
      <c r="AR754" s="306"/>
      <c r="AS754" s="306"/>
      <c r="AT754" s="306"/>
    </row>
    <row r="755" spans="1:46" ht="76.5" x14ac:dyDescent="0.25">
      <c r="A755" s="306">
        <v>160</v>
      </c>
      <c r="B755" s="306" t="str">
        <f t="shared" si="84"/>
        <v>3075-160</v>
      </c>
      <c r="C755" s="307" t="s">
        <v>1852</v>
      </c>
      <c r="D755" s="308" t="s">
        <v>1853</v>
      </c>
      <c r="E755" s="308" t="s">
        <v>1854</v>
      </c>
      <c r="F755" s="307" t="s">
        <v>1907</v>
      </c>
      <c r="G755" s="327" t="s">
        <v>1908</v>
      </c>
      <c r="H755" s="310" t="s">
        <v>1909</v>
      </c>
      <c r="I755" s="308" t="s">
        <v>1858</v>
      </c>
      <c r="J755" s="308" t="s">
        <v>1859</v>
      </c>
      <c r="K755" s="308">
        <v>801116</v>
      </c>
      <c r="L755" s="306" t="s">
        <v>1860</v>
      </c>
      <c r="M755" s="306" t="s">
        <v>59</v>
      </c>
      <c r="N755" s="306" t="s">
        <v>60</v>
      </c>
      <c r="O755" s="308" t="s">
        <v>1910</v>
      </c>
      <c r="P755" s="308" t="s">
        <v>2278</v>
      </c>
      <c r="Q755" s="315">
        <v>3326900</v>
      </c>
      <c r="R755" s="306">
        <v>1</v>
      </c>
      <c r="S755" s="312">
        <v>23288300</v>
      </c>
      <c r="T755" s="306" t="s">
        <v>934</v>
      </c>
      <c r="U755" s="306" t="s">
        <v>1906</v>
      </c>
      <c r="V755" s="313" t="s">
        <v>308</v>
      </c>
      <c r="W755" s="314">
        <v>7</v>
      </c>
      <c r="X755" s="306" t="s">
        <v>2279</v>
      </c>
      <c r="Y755" s="313">
        <v>43102</v>
      </c>
      <c r="Z755" s="315">
        <v>23288300</v>
      </c>
      <c r="AA755" s="316" t="s">
        <v>2280</v>
      </c>
      <c r="AB755" s="317">
        <v>359</v>
      </c>
      <c r="AC755" s="313">
        <v>43110</v>
      </c>
      <c r="AD755" s="312">
        <v>23288300</v>
      </c>
      <c r="AE755" s="318">
        <f t="shared" si="85"/>
        <v>0</v>
      </c>
      <c r="AF755" s="317">
        <v>466</v>
      </c>
      <c r="AG755" s="313">
        <v>43126</v>
      </c>
      <c r="AH755" s="312">
        <v>23288300</v>
      </c>
      <c r="AI755" s="306" t="s">
        <v>2281</v>
      </c>
      <c r="AJ755" s="306">
        <v>393</v>
      </c>
      <c r="AK755" s="318">
        <f t="shared" si="88"/>
        <v>0</v>
      </c>
      <c r="AL755" s="312">
        <f t="shared" si="83"/>
        <v>7208283</v>
      </c>
      <c r="AM755" s="312">
        <f t="shared" si="86"/>
        <v>16080017</v>
      </c>
      <c r="AN755" s="306" t="s">
        <v>1863</v>
      </c>
      <c r="AO755" s="312">
        <f t="shared" si="87"/>
        <v>0</v>
      </c>
      <c r="AP755" s="306"/>
      <c r="AQ755" s="306"/>
      <c r="AR755" s="306"/>
      <c r="AS755" s="306"/>
      <c r="AT755" s="306"/>
    </row>
    <row r="756" spans="1:46" ht="89.25" x14ac:dyDescent="0.25">
      <c r="A756" s="306">
        <v>161</v>
      </c>
      <c r="B756" s="306" t="str">
        <f t="shared" si="84"/>
        <v>3075-161</v>
      </c>
      <c r="C756" s="307" t="s">
        <v>1852</v>
      </c>
      <c r="D756" s="308" t="s">
        <v>1853</v>
      </c>
      <c r="E756" s="308" t="s">
        <v>1854</v>
      </c>
      <c r="F756" s="307" t="s">
        <v>1907</v>
      </c>
      <c r="G756" s="327" t="s">
        <v>1908</v>
      </c>
      <c r="H756" s="310" t="s">
        <v>1909</v>
      </c>
      <c r="I756" s="308" t="s">
        <v>1858</v>
      </c>
      <c r="J756" s="308" t="s">
        <v>1859</v>
      </c>
      <c r="K756" s="308">
        <v>801116</v>
      </c>
      <c r="L756" s="306" t="s">
        <v>1860</v>
      </c>
      <c r="M756" s="306" t="s">
        <v>59</v>
      </c>
      <c r="N756" s="306" t="s">
        <v>60</v>
      </c>
      <c r="O756" s="308" t="s">
        <v>1910</v>
      </c>
      <c r="P756" s="308" t="s">
        <v>2282</v>
      </c>
      <c r="Q756" s="315">
        <v>3399000</v>
      </c>
      <c r="R756" s="306">
        <v>1</v>
      </c>
      <c r="S756" s="312">
        <v>33990000</v>
      </c>
      <c r="T756" s="306" t="s">
        <v>900</v>
      </c>
      <c r="U756" s="306" t="s">
        <v>1906</v>
      </c>
      <c r="V756" s="313" t="s">
        <v>308</v>
      </c>
      <c r="W756" s="314">
        <v>9.5</v>
      </c>
      <c r="X756" s="306" t="s">
        <v>2283</v>
      </c>
      <c r="Y756" s="313">
        <v>43102</v>
      </c>
      <c r="Z756" s="315">
        <v>33990000</v>
      </c>
      <c r="AA756" s="316" t="s">
        <v>2235</v>
      </c>
      <c r="AB756" s="317">
        <v>412</v>
      </c>
      <c r="AC756" s="313">
        <v>43110</v>
      </c>
      <c r="AD756" s="312">
        <v>33990000</v>
      </c>
      <c r="AE756" s="318">
        <f t="shared" si="85"/>
        <v>0</v>
      </c>
      <c r="AF756" s="317">
        <v>299</v>
      </c>
      <c r="AG756" s="313">
        <v>43122</v>
      </c>
      <c r="AH756" s="312">
        <v>33990000</v>
      </c>
      <c r="AI756" s="306" t="s">
        <v>2284</v>
      </c>
      <c r="AJ756" s="306">
        <v>273</v>
      </c>
      <c r="AK756" s="318">
        <f t="shared" si="88"/>
        <v>0</v>
      </c>
      <c r="AL756" s="312">
        <f t="shared" si="83"/>
        <v>7704400</v>
      </c>
      <c r="AM756" s="312">
        <f t="shared" si="86"/>
        <v>26285600</v>
      </c>
      <c r="AN756" s="306" t="s">
        <v>1863</v>
      </c>
      <c r="AO756" s="312">
        <f t="shared" si="87"/>
        <v>0</v>
      </c>
      <c r="AP756" s="306"/>
      <c r="AQ756" s="306"/>
      <c r="AR756" s="306"/>
      <c r="AS756" s="306"/>
      <c r="AT756" s="306"/>
    </row>
    <row r="757" spans="1:46" ht="76.5" x14ac:dyDescent="0.25">
      <c r="A757" s="306">
        <v>162</v>
      </c>
      <c r="B757" s="306" t="str">
        <f t="shared" si="84"/>
        <v>3075-162</v>
      </c>
      <c r="C757" s="307" t="s">
        <v>1852</v>
      </c>
      <c r="D757" s="308" t="s">
        <v>1853</v>
      </c>
      <c r="E757" s="308" t="s">
        <v>1854</v>
      </c>
      <c r="F757" s="307" t="s">
        <v>1907</v>
      </c>
      <c r="G757" s="327" t="s">
        <v>1908</v>
      </c>
      <c r="H757" s="310" t="s">
        <v>1909</v>
      </c>
      <c r="I757" s="308" t="s">
        <v>1858</v>
      </c>
      <c r="J757" s="308" t="s">
        <v>1859</v>
      </c>
      <c r="K757" s="308">
        <v>801116</v>
      </c>
      <c r="L757" s="306" t="s">
        <v>1860</v>
      </c>
      <c r="M757" s="306" t="s">
        <v>59</v>
      </c>
      <c r="N757" s="306" t="s">
        <v>60</v>
      </c>
      <c r="O757" s="308" t="s">
        <v>1910</v>
      </c>
      <c r="P757" s="308" t="s">
        <v>1967</v>
      </c>
      <c r="Q757" s="315">
        <v>1751000</v>
      </c>
      <c r="R757" s="306">
        <v>1</v>
      </c>
      <c r="S757" s="312">
        <v>10506000</v>
      </c>
      <c r="T757" s="306" t="s">
        <v>934</v>
      </c>
      <c r="U757" s="306" t="s">
        <v>1906</v>
      </c>
      <c r="V757" s="313" t="s">
        <v>308</v>
      </c>
      <c r="W757" s="314">
        <v>6</v>
      </c>
      <c r="X757" s="306" t="s">
        <v>2285</v>
      </c>
      <c r="Y757" s="313">
        <v>43102</v>
      </c>
      <c r="Z757" s="315">
        <v>10506000</v>
      </c>
      <c r="AA757" s="316" t="s">
        <v>2195</v>
      </c>
      <c r="AB757" s="317">
        <v>361</v>
      </c>
      <c r="AC757" s="313">
        <v>43110</v>
      </c>
      <c r="AD757" s="312">
        <v>10506000</v>
      </c>
      <c r="AE757" s="318">
        <f t="shared" si="85"/>
        <v>0</v>
      </c>
      <c r="AF757" s="317">
        <v>367</v>
      </c>
      <c r="AG757" s="313">
        <v>43124</v>
      </c>
      <c r="AH757" s="312">
        <v>10506000</v>
      </c>
      <c r="AI757" s="306" t="s">
        <v>2286</v>
      </c>
      <c r="AJ757" s="306">
        <v>267</v>
      </c>
      <c r="AK757" s="318">
        <f t="shared" si="88"/>
        <v>0</v>
      </c>
      <c r="AL757" s="312">
        <f t="shared" si="83"/>
        <v>3910566</v>
      </c>
      <c r="AM757" s="312">
        <f t="shared" si="86"/>
        <v>6595434</v>
      </c>
      <c r="AN757" s="306" t="s">
        <v>1863</v>
      </c>
      <c r="AO757" s="312">
        <f t="shared" si="87"/>
        <v>0</v>
      </c>
      <c r="AP757" s="306"/>
      <c r="AQ757" s="306"/>
      <c r="AR757" s="306"/>
      <c r="AS757" s="306"/>
      <c r="AT757" s="306"/>
    </row>
    <row r="758" spans="1:46" ht="76.5" x14ac:dyDescent="0.25">
      <c r="A758" s="306">
        <v>163</v>
      </c>
      <c r="B758" s="306" t="str">
        <f t="shared" si="84"/>
        <v>3075-163</v>
      </c>
      <c r="C758" s="307" t="s">
        <v>1852</v>
      </c>
      <c r="D758" s="308" t="s">
        <v>1853</v>
      </c>
      <c r="E758" s="308" t="s">
        <v>1854</v>
      </c>
      <c r="F758" s="307" t="s">
        <v>1907</v>
      </c>
      <c r="G758" s="327" t="s">
        <v>1908</v>
      </c>
      <c r="H758" s="310" t="s">
        <v>1909</v>
      </c>
      <c r="I758" s="308" t="s">
        <v>1858</v>
      </c>
      <c r="J758" s="308" t="s">
        <v>1859</v>
      </c>
      <c r="K758" s="308">
        <v>801116</v>
      </c>
      <c r="L758" s="306" t="s">
        <v>1860</v>
      </c>
      <c r="M758" s="306" t="s">
        <v>59</v>
      </c>
      <c r="N758" s="306" t="s">
        <v>60</v>
      </c>
      <c r="O758" s="308" t="s">
        <v>1910</v>
      </c>
      <c r="P758" s="308" t="s">
        <v>2287</v>
      </c>
      <c r="Q758" s="315">
        <v>3553500</v>
      </c>
      <c r="R758" s="306">
        <v>1</v>
      </c>
      <c r="S758" s="312">
        <v>31981500</v>
      </c>
      <c r="T758" s="306" t="s">
        <v>900</v>
      </c>
      <c r="U758" s="306" t="s">
        <v>1906</v>
      </c>
      <c r="V758" s="313" t="s">
        <v>308</v>
      </c>
      <c r="W758" s="314">
        <v>9</v>
      </c>
      <c r="X758" s="306" t="s">
        <v>2288</v>
      </c>
      <c r="Y758" s="313">
        <v>43102</v>
      </c>
      <c r="Z758" s="315">
        <v>31981500</v>
      </c>
      <c r="AA758" s="316" t="s">
        <v>2280</v>
      </c>
      <c r="AB758" s="317">
        <v>220</v>
      </c>
      <c r="AC758" s="313">
        <v>43105</v>
      </c>
      <c r="AD758" s="312">
        <v>31981500</v>
      </c>
      <c r="AE758" s="318">
        <f t="shared" si="85"/>
        <v>0</v>
      </c>
      <c r="AF758" s="317">
        <v>298</v>
      </c>
      <c r="AG758" s="313">
        <v>43122</v>
      </c>
      <c r="AH758" s="312">
        <v>31981500</v>
      </c>
      <c r="AI758" s="306" t="s">
        <v>2289</v>
      </c>
      <c r="AJ758" s="306">
        <v>271</v>
      </c>
      <c r="AK758" s="318">
        <f t="shared" si="88"/>
        <v>0</v>
      </c>
      <c r="AL758" s="312">
        <f t="shared" si="83"/>
        <v>8054600</v>
      </c>
      <c r="AM758" s="312">
        <f t="shared" si="86"/>
        <v>23926900</v>
      </c>
      <c r="AN758" s="306" t="s">
        <v>1863</v>
      </c>
      <c r="AO758" s="312">
        <f t="shared" si="87"/>
        <v>0</v>
      </c>
      <c r="AP758" s="306"/>
      <c r="AQ758" s="306"/>
      <c r="AR758" s="306"/>
      <c r="AS758" s="306"/>
      <c r="AT758" s="306"/>
    </row>
    <row r="759" spans="1:46" ht="76.5" x14ac:dyDescent="0.25">
      <c r="A759" s="306">
        <v>164</v>
      </c>
      <c r="B759" s="306" t="str">
        <f t="shared" si="84"/>
        <v>3075-164</v>
      </c>
      <c r="C759" s="307" t="s">
        <v>1852</v>
      </c>
      <c r="D759" s="308" t="s">
        <v>1853</v>
      </c>
      <c r="E759" s="308" t="s">
        <v>1854</v>
      </c>
      <c r="F759" s="307" t="s">
        <v>1907</v>
      </c>
      <c r="G759" s="327" t="s">
        <v>1908</v>
      </c>
      <c r="H759" s="310" t="s">
        <v>1909</v>
      </c>
      <c r="I759" s="308" t="s">
        <v>1858</v>
      </c>
      <c r="J759" s="308" t="s">
        <v>1859</v>
      </c>
      <c r="K759" s="308">
        <v>801116</v>
      </c>
      <c r="L759" s="306" t="s">
        <v>1860</v>
      </c>
      <c r="M759" s="306" t="s">
        <v>59</v>
      </c>
      <c r="N759" s="306" t="s">
        <v>60</v>
      </c>
      <c r="O759" s="308" t="s">
        <v>1910</v>
      </c>
      <c r="P759" s="308" t="s">
        <v>2043</v>
      </c>
      <c r="Q759" s="315">
        <v>4120000</v>
      </c>
      <c r="R759" s="306">
        <v>1</v>
      </c>
      <c r="S759" s="312">
        <v>41200000</v>
      </c>
      <c r="T759" s="306" t="s">
        <v>900</v>
      </c>
      <c r="U759" s="306" t="s">
        <v>1906</v>
      </c>
      <c r="V759" s="313" t="s">
        <v>308</v>
      </c>
      <c r="W759" s="314">
        <v>9.75</v>
      </c>
      <c r="X759" s="306" t="s">
        <v>2290</v>
      </c>
      <c r="Y759" s="313">
        <v>43102</v>
      </c>
      <c r="Z759" s="315">
        <v>41200000</v>
      </c>
      <c r="AA759" s="316" t="s">
        <v>2210</v>
      </c>
      <c r="AB759" s="317">
        <v>223</v>
      </c>
      <c r="AC759" s="313">
        <v>43105</v>
      </c>
      <c r="AD759" s="312">
        <v>41200000</v>
      </c>
      <c r="AE759" s="318">
        <f t="shared" si="85"/>
        <v>0</v>
      </c>
      <c r="AF759" s="317">
        <v>123</v>
      </c>
      <c r="AG759" s="313">
        <v>43117</v>
      </c>
      <c r="AH759" s="312">
        <v>41200000</v>
      </c>
      <c r="AI759" s="306" t="s">
        <v>2291</v>
      </c>
      <c r="AJ759" s="306">
        <v>116</v>
      </c>
      <c r="AK759" s="318">
        <f t="shared" si="88"/>
        <v>0</v>
      </c>
      <c r="AL759" s="312">
        <f t="shared" si="83"/>
        <v>10025333</v>
      </c>
      <c r="AM759" s="312">
        <f t="shared" si="86"/>
        <v>31174667</v>
      </c>
      <c r="AN759" s="306" t="s">
        <v>1863</v>
      </c>
      <c r="AO759" s="312">
        <f t="shared" si="87"/>
        <v>0</v>
      </c>
      <c r="AP759" s="306"/>
      <c r="AQ759" s="306"/>
      <c r="AR759" s="306"/>
      <c r="AS759" s="306"/>
      <c r="AT759" s="306"/>
    </row>
    <row r="760" spans="1:46" ht="76.5" x14ac:dyDescent="0.25">
      <c r="A760" s="306">
        <v>165</v>
      </c>
      <c r="B760" s="306" t="str">
        <f t="shared" si="84"/>
        <v>3075-165</v>
      </c>
      <c r="C760" s="307" t="s">
        <v>1852</v>
      </c>
      <c r="D760" s="308" t="s">
        <v>1853</v>
      </c>
      <c r="E760" s="308" t="s">
        <v>1854</v>
      </c>
      <c r="F760" s="307" t="s">
        <v>1907</v>
      </c>
      <c r="G760" s="327" t="s">
        <v>1908</v>
      </c>
      <c r="H760" s="310" t="s">
        <v>1909</v>
      </c>
      <c r="I760" s="308" t="s">
        <v>1858</v>
      </c>
      <c r="J760" s="308" t="s">
        <v>1859</v>
      </c>
      <c r="K760" s="308">
        <v>801116</v>
      </c>
      <c r="L760" s="306" t="s">
        <v>1860</v>
      </c>
      <c r="M760" s="306" t="s">
        <v>59</v>
      </c>
      <c r="N760" s="306" t="s">
        <v>60</v>
      </c>
      <c r="O760" s="308" t="s">
        <v>1910</v>
      </c>
      <c r="P760" s="308" t="s">
        <v>1971</v>
      </c>
      <c r="Q760" s="315">
        <v>2472000</v>
      </c>
      <c r="R760" s="306">
        <v>1</v>
      </c>
      <c r="S760" s="312">
        <v>27192000</v>
      </c>
      <c r="T760" s="306" t="s">
        <v>934</v>
      </c>
      <c r="U760" s="306" t="s">
        <v>1906</v>
      </c>
      <c r="V760" s="313" t="s">
        <v>308</v>
      </c>
      <c r="W760" s="314">
        <v>11</v>
      </c>
      <c r="X760" s="306" t="s">
        <v>2292</v>
      </c>
      <c r="Y760" s="313">
        <v>43102</v>
      </c>
      <c r="Z760" s="315">
        <v>27192000</v>
      </c>
      <c r="AA760" s="316" t="s">
        <v>2228</v>
      </c>
      <c r="AB760" s="317">
        <v>232</v>
      </c>
      <c r="AC760" s="313">
        <v>43105</v>
      </c>
      <c r="AD760" s="312">
        <v>27192000</v>
      </c>
      <c r="AE760" s="318">
        <f t="shared" si="85"/>
        <v>0</v>
      </c>
      <c r="AF760" s="317">
        <v>412</v>
      </c>
      <c r="AG760" s="313">
        <v>43124</v>
      </c>
      <c r="AH760" s="312">
        <v>27192000</v>
      </c>
      <c r="AI760" s="306" t="s">
        <v>2293</v>
      </c>
      <c r="AJ760" s="306">
        <v>334</v>
      </c>
      <c r="AK760" s="318">
        <f t="shared" si="88"/>
        <v>0</v>
      </c>
      <c r="AL760" s="312">
        <f t="shared" si="83"/>
        <v>5438400</v>
      </c>
      <c r="AM760" s="312">
        <f t="shared" si="86"/>
        <v>21753600</v>
      </c>
      <c r="AN760" s="306" t="s">
        <v>1863</v>
      </c>
      <c r="AO760" s="312">
        <f t="shared" si="87"/>
        <v>0</v>
      </c>
      <c r="AP760" s="306"/>
      <c r="AQ760" s="306"/>
      <c r="AR760" s="306"/>
      <c r="AS760" s="306"/>
      <c r="AT760" s="306"/>
    </row>
    <row r="761" spans="1:46" ht="76.5" x14ac:dyDescent="0.25">
      <c r="A761" s="306">
        <v>166</v>
      </c>
      <c r="B761" s="306" t="str">
        <f t="shared" si="84"/>
        <v>3075-166</v>
      </c>
      <c r="C761" s="307" t="s">
        <v>1852</v>
      </c>
      <c r="D761" s="308" t="s">
        <v>1853</v>
      </c>
      <c r="E761" s="308" t="s">
        <v>1854</v>
      </c>
      <c r="F761" s="307" t="s">
        <v>1907</v>
      </c>
      <c r="G761" s="327" t="s">
        <v>1908</v>
      </c>
      <c r="H761" s="310" t="s">
        <v>1909</v>
      </c>
      <c r="I761" s="308" t="s">
        <v>1858</v>
      </c>
      <c r="J761" s="308" t="s">
        <v>1859</v>
      </c>
      <c r="K761" s="308">
        <v>801116</v>
      </c>
      <c r="L761" s="306" t="s">
        <v>1860</v>
      </c>
      <c r="M761" s="306" t="s">
        <v>59</v>
      </c>
      <c r="N761" s="306" t="s">
        <v>60</v>
      </c>
      <c r="O761" s="308" t="s">
        <v>1910</v>
      </c>
      <c r="P761" s="308" t="s">
        <v>2294</v>
      </c>
      <c r="Q761" s="315">
        <v>7210000</v>
      </c>
      <c r="R761" s="306">
        <v>1</v>
      </c>
      <c r="S761" s="312">
        <v>57680000</v>
      </c>
      <c r="T761" s="306" t="s">
        <v>900</v>
      </c>
      <c r="U761" s="306" t="s">
        <v>1906</v>
      </c>
      <c r="V761" s="313" t="s">
        <v>308</v>
      </c>
      <c r="W761" s="314">
        <v>8.3333333333333339</v>
      </c>
      <c r="X761" s="306" t="s">
        <v>2295</v>
      </c>
      <c r="Y761" s="313">
        <v>43103</v>
      </c>
      <c r="Z761" s="315">
        <v>57680000</v>
      </c>
      <c r="AA761" s="316" t="s">
        <v>1931</v>
      </c>
      <c r="AB761" s="317">
        <v>234</v>
      </c>
      <c r="AC761" s="313">
        <v>43105</v>
      </c>
      <c r="AD761" s="312">
        <v>57680000</v>
      </c>
      <c r="AE761" s="318">
        <f t="shared" si="85"/>
        <v>0</v>
      </c>
      <c r="AF761" s="317">
        <v>247</v>
      </c>
      <c r="AG761" s="313">
        <v>43119</v>
      </c>
      <c r="AH761" s="312">
        <v>57680000</v>
      </c>
      <c r="AI761" s="306" t="s">
        <v>2296</v>
      </c>
      <c r="AJ761" s="306">
        <v>214</v>
      </c>
      <c r="AK761" s="318">
        <f t="shared" si="88"/>
        <v>0</v>
      </c>
      <c r="AL761" s="312">
        <f t="shared" si="83"/>
        <v>17304000</v>
      </c>
      <c r="AM761" s="312">
        <f t="shared" si="86"/>
        <v>40376000</v>
      </c>
      <c r="AN761" s="306" t="s">
        <v>1863</v>
      </c>
      <c r="AO761" s="312">
        <f t="shared" si="87"/>
        <v>0</v>
      </c>
      <c r="AP761" s="306"/>
      <c r="AQ761" s="306"/>
      <c r="AR761" s="306"/>
      <c r="AS761" s="306"/>
      <c r="AT761" s="306"/>
    </row>
    <row r="762" spans="1:46" ht="102" x14ac:dyDescent="0.25">
      <c r="A762" s="306">
        <v>167</v>
      </c>
      <c r="B762" s="306" t="str">
        <f t="shared" si="84"/>
        <v>3075-167</v>
      </c>
      <c r="C762" s="307" t="s">
        <v>1852</v>
      </c>
      <c r="D762" s="308" t="s">
        <v>1853</v>
      </c>
      <c r="E762" s="308" t="s">
        <v>1854</v>
      </c>
      <c r="F762" s="307" t="s">
        <v>1907</v>
      </c>
      <c r="G762" s="327" t="s">
        <v>1908</v>
      </c>
      <c r="H762" s="310" t="s">
        <v>1909</v>
      </c>
      <c r="I762" s="308" t="s">
        <v>1858</v>
      </c>
      <c r="J762" s="308" t="s">
        <v>1859</v>
      </c>
      <c r="K762" s="308">
        <v>801116</v>
      </c>
      <c r="L762" s="306" t="s">
        <v>1860</v>
      </c>
      <c r="M762" s="306" t="s">
        <v>59</v>
      </c>
      <c r="N762" s="306" t="s">
        <v>60</v>
      </c>
      <c r="O762" s="308" t="s">
        <v>1910</v>
      </c>
      <c r="P762" s="308" t="s">
        <v>2297</v>
      </c>
      <c r="Q762" s="315">
        <v>5665000</v>
      </c>
      <c r="R762" s="306">
        <v>1</v>
      </c>
      <c r="S762" s="312">
        <v>0</v>
      </c>
      <c r="T762" s="306"/>
      <c r="U762" s="306" t="s">
        <v>1906</v>
      </c>
      <c r="V762" s="313"/>
      <c r="W762" s="314">
        <v>8</v>
      </c>
      <c r="X762" s="306" t="s">
        <v>2298</v>
      </c>
      <c r="Y762" s="313">
        <v>43103</v>
      </c>
      <c r="Z762" s="315">
        <v>0</v>
      </c>
      <c r="AA762" s="316" t="s">
        <v>2299</v>
      </c>
      <c r="AB762" s="317"/>
      <c r="AC762" s="313"/>
      <c r="AD762" s="312"/>
      <c r="AE762" s="318">
        <f t="shared" si="85"/>
        <v>0</v>
      </c>
      <c r="AF762" s="317"/>
      <c r="AG762" s="313"/>
      <c r="AH762" s="312"/>
      <c r="AI762" s="306"/>
      <c r="AJ762" s="306"/>
      <c r="AK762" s="318">
        <f t="shared" si="88"/>
        <v>0</v>
      </c>
      <c r="AL762" s="312">
        <v>0</v>
      </c>
      <c r="AM762" s="312">
        <f t="shared" si="86"/>
        <v>0</v>
      </c>
      <c r="AN762" s="306" t="s">
        <v>1863</v>
      </c>
      <c r="AO762" s="312">
        <f t="shared" si="87"/>
        <v>0</v>
      </c>
      <c r="AP762" s="306"/>
      <c r="AQ762" s="306"/>
      <c r="AR762" s="306" t="s">
        <v>2300</v>
      </c>
      <c r="AS762" s="306"/>
      <c r="AT762" s="306"/>
    </row>
    <row r="763" spans="1:46" ht="76.5" x14ac:dyDescent="0.25">
      <c r="A763" s="306">
        <v>168</v>
      </c>
      <c r="B763" s="306" t="str">
        <f t="shared" si="84"/>
        <v>3075-168</v>
      </c>
      <c r="C763" s="307" t="s">
        <v>1852</v>
      </c>
      <c r="D763" s="308" t="s">
        <v>1853</v>
      </c>
      <c r="E763" s="308" t="s">
        <v>1854</v>
      </c>
      <c r="F763" s="307" t="s">
        <v>1907</v>
      </c>
      <c r="G763" s="327" t="s">
        <v>1908</v>
      </c>
      <c r="H763" s="310" t="s">
        <v>1909</v>
      </c>
      <c r="I763" s="308" t="s">
        <v>1858</v>
      </c>
      <c r="J763" s="308" t="s">
        <v>1859</v>
      </c>
      <c r="K763" s="308">
        <v>801116</v>
      </c>
      <c r="L763" s="306" t="s">
        <v>1860</v>
      </c>
      <c r="M763" s="306" t="s">
        <v>59</v>
      </c>
      <c r="N763" s="306" t="s">
        <v>60</v>
      </c>
      <c r="O763" s="308" t="s">
        <v>1910</v>
      </c>
      <c r="P763" s="308" t="s">
        <v>2301</v>
      </c>
      <c r="Q763" s="315">
        <v>8240000</v>
      </c>
      <c r="R763" s="306">
        <v>1</v>
      </c>
      <c r="S763" s="312">
        <v>82400000</v>
      </c>
      <c r="T763" s="306" t="s">
        <v>900</v>
      </c>
      <c r="U763" s="306" t="s">
        <v>1906</v>
      </c>
      <c r="V763" s="313" t="s">
        <v>308</v>
      </c>
      <c r="W763" s="314">
        <v>10.333333333333334</v>
      </c>
      <c r="X763" s="306" t="s">
        <v>2302</v>
      </c>
      <c r="Y763" s="313">
        <v>43103</v>
      </c>
      <c r="Z763" s="315">
        <v>82400000</v>
      </c>
      <c r="AA763" s="316" t="s">
        <v>2303</v>
      </c>
      <c r="AB763" s="317">
        <v>338</v>
      </c>
      <c r="AC763" s="313">
        <v>43110</v>
      </c>
      <c r="AD763" s="312">
        <v>82400000</v>
      </c>
      <c r="AE763" s="318">
        <f t="shared" si="85"/>
        <v>0</v>
      </c>
      <c r="AF763" s="317">
        <v>190</v>
      </c>
      <c r="AG763" s="313">
        <v>43118</v>
      </c>
      <c r="AH763" s="312">
        <v>82400000</v>
      </c>
      <c r="AI763" s="306" t="s">
        <v>2304</v>
      </c>
      <c r="AJ763" s="306">
        <v>167</v>
      </c>
      <c r="AK763" s="318">
        <f t="shared" si="88"/>
        <v>0</v>
      </c>
      <c r="AL763" s="312">
        <f>VLOOKUP(AB763,RP,13,FALSE)</f>
        <v>19776000</v>
      </c>
      <c r="AM763" s="312">
        <f t="shared" si="86"/>
        <v>62624000</v>
      </c>
      <c r="AN763" s="306" t="s">
        <v>1863</v>
      </c>
      <c r="AO763" s="312">
        <f t="shared" si="87"/>
        <v>0</v>
      </c>
      <c r="AP763" s="306"/>
      <c r="AQ763" s="306"/>
      <c r="AR763" s="306"/>
      <c r="AS763" s="306"/>
      <c r="AT763" s="306"/>
    </row>
    <row r="764" spans="1:46" ht="76.5" x14ac:dyDescent="0.25">
      <c r="A764" s="306">
        <v>169</v>
      </c>
      <c r="B764" s="306" t="str">
        <f t="shared" si="84"/>
        <v>3075-169</v>
      </c>
      <c r="C764" s="307" t="s">
        <v>1852</v>
      </c>
      <c r="D764" s="308" t="s">
        <v>1853</v>
      </c>
      <c r="E764" s="308" t="s">
        <v>1854</v>
      </c>
      <c r="F764" s="307" t="s">
        <v>1907</v>
      </c>
      <c r="G764" s="327" t="s">
        <v>1908</v>
      </c>
      <c r="H764" s="310" t="s">
        <v>1909</v>
      </c>
      <c r="I764" s="308" t="s">
        <v>1858</v>
      </c>
      <c r="J764" s="308" t="s">
        <v>1859</v>
      </c>
      <c r="K764" s="308">
        <v>801116</v>
      </c>
      <c r="L764" s="306" t="s">
        <v>1860</v>
      </c>
      <c r="M764" s="306" t="s">
        <v>59</v>
      </c>
      <c r="N764" s="306" t="s">
        <v>60</v>
      </c>
      <c r="O764" s="308" t="s">
        <v>1910</v>
      </c>
      <c r="P764" s="308" t="s">
        <v>2305</v>
      </c>
      <c r="Q764" s="315">
        <v>8240000</v>
      </c>
      <c r="R764" s="306">
        <v>1</v>
      </c>
      <c r="S764" s="312">
        <v>90640000</v>
      </c>
      <c r="T764" s="306" t="s">
        <v>900</v>
      </c>
      <c r="U764" s="306" t="s">
        <v>1906</v>
      </c>
      <c r="V764" s="313" t="s">
        <v>308</v>
      </c>
      <c r="W764" s="314">
        <v>11</v>
      </c>
      <c r="X764" s="306" t="s">
        <v>2306</v>
      </c>
      <c r="Y764" s="313">
        <v>43103</v>
      </c>
      <c r="Z764" s="315">
        <v>90640000</v>
      </c>
      <c r="AA764" s="316" t="s">
        <v>2303</v>
      </c>
      <c r="AB764" s="317">
        <v>342</v>
      </c>
      <c r="AC764" s="313">
        <v>43110</v>
      </c>
      <c r="AD764" s="312">
        <v>90640000</v>
      </c>
      <c r="AE764" s="318">
        <f t="shared" si="85"/>
        <v>0</v>
      </c>
      <c r="AF764" s="317">
        <v>415</v>
      </c>
      <c r="AG764" s="313">
        <v>43124</v>
      </c>
      <c r="AH764" s="312">
        <v>90640000</v>
      </c>
      <c r="AI764" s="306" t="s">
        <v>2307</v>
      </c>
      <c r="AJ764" s="306">
        <v>336</v>
      </c>
      <c r="AK764" s="318">
        <f t="shared" si="88"/>
        <v>0</v>
      </c>
      <c r="AL764" s="312">
        <f>VLOOKUP(AB764,RP,13,FALSE)</f>
        <v>18128000</v>
      </c>
      <c r="AM764" s="312">
        <f t="shared" si="86"/>
        <v>72512000</v>
      </c>
      <c r="AN764" s="306" t="s">
        <v>1863</v>
      </c>
      <c r="AO764" s="312">
        <f t="shared" si="87"/>
        <v>0</v>
      </c>
      <c r="AP764" s="306"/>
      <c r="AQ764" s="306"/>
      <c r="AR764" s="306"/>
      <c r="AS764" s="306"/>
      <c r="AT764" s="306"/>
    </row>
    <row r="765" spans="1:46" ht="76.5" x14ac:dyDescent="0.25">
      <c r="A765" s="306">
        <v>170</v>
      </c>
      <c r="B765" s="306" t="str">
        <f t="shared" si="84"/>
        <v>3075-170</v>
      </c>
      <c r="C765" s="307" t="s">
        <v>1852</v>
      </c>
      <c r="D765" s="308" t="s">
        <v>1853</v>
      </c>
      <c r="E765" s="308" t="s">
        <v>1854</v>
      </c>
      <c r="F765" s="307" t="s">
        <v>1907</v>
      </c>
      <c r="G765" s="327" t="s">
        <v>1908</v>
      </c>
      <c r="H765" s="310" t="s">
        <v>1909</v>
      </c>
      <c r="I765" s="308" t="s">
        <v>1858</v>
      </c>
      <c r="J765" s="308" t="s">
        <v>1859</v>
      </c>
      <c r="K765" s="308">
        <v>801116</v>
      </c>
      <c r="L765" s="306" t="s">
        <v>1860</v>
      </c>
      <c r="M765" s="306" t="s">
        <v>59</v>
      </c>
      <c r="N765" s="306" t="s">
        <v>60</v>
      </c>
      <c r="O765" s="308" t="s">
        <v>1910</v>
      </c>
      <c r="P765" s="308" t="s">
        <v>2294</v>
      </c>
      <c r="Q765" s="315">
        <v>7210000</v>
      </c>
      <c r="R765" s="306">
        <v>1</v>
      </c>
      <c r="S765" s="312">
        <v>64890000</v>
      </c>
      <c r="T765" s="306" t="s">
        <v>900</v>
      </c>
      <c r="U765" s="306" t="s">
        <v>1906</v>
      </c>
      <c r="V765" s="313" t="s">
        <v>308</v>
      </c>
      <c r="W765" s="314">
        <v>9</v>
      </c>
      <c r="X765" s="306" t="s">
        <v>2308</v>
      </c>
      <c r="Y765" s="313">
        <v>43103</v>
      </c>
      <c r="Z765" s="315">
        <v>64890000</v>
      </c>
      <c r="AA765" s="316" t="s">
        <v>1931</v>
      </c>
      <c r="AB765" s="317">
        <v>350</v>
      </c>
      <c r="AC765" s="313">
        <v>43110</v>
      </c>
      <c r="AD765" s="312">
        <v>64890000</v>
      </c>
      <c r="AE765" s="318">
        <f t="shared" si="85"/>
        <v>0</v>
      </c>
      <c r="AF765" s="317">
        <v>262</v>
      </c>
      <c r="AG765" s="313">
        <v>43119</v>
      </c>
      <c r="AH765" s="312">
        <v>64890000</v>
      </c>
      <c r="AI765" s="306" t="s">
        <v>2309</v>
      </c>
      <c r="AJ765" s="306">
        <v>228</v>
      </c>
      <c r="AK765" s="318">
        <f t="shared" si="88"/>
        <v>0</v>
      </c>
      <c r="AL765" s="312">
        <f>VLOOKUP(AB765,RP,13,FALSE)</f>
        <v>16583000</v>
      </c>
      <c r="AM765" s="312">
        <f t="shared" si="86"/>
        <v>48307000</v>
      </c>
      <c r="AN765" s="306" t="s">
        <v>1863</v>
      </c>
      <c r="AO765" s="312">
        <f t="shared" si="87"/>
        <v>0</v>
      </c>
      <c r="AP765" s="306"/>
      <c r="AQ765" s="306"/>
      <c r="AR765" s="306"/>
      <c r="AS765" s="306"/>
      <c r="AT765" s="306"/>
    </row>
    <row r="766" spans="1:46" ht="76.5" x14ac:dyDescent="0.25">
      <c r="A766" s="306">
        <v>171</v>
      </c>
      <c r="B766" s="306" t="str">
        <f t="shared" si="84"/>
        <v>3075-171</v>
      </c>
      <c r="C766" s="307" t="s">
        <v>1852</v>
      </c>
      <c r="D766" s="308" t="s">
        <v>1853</v>
      </c>
      <c r="E766" s="308" t="s">
        <v>1854</v>
      </c>
      <c r="F766" s="307" t="s">
        <v>1907</v>
      </c>
      <c r="G766" s="327" t="s">
        <v>1908</v>
      </c>
      <c r="H766" s="310" t="s">
        <v>1909</v>
      </c>
      <c r="I766" s="308" t="s">
        <v>1858</v>
      </c>
      <c r="J766" s="308" t="s">
        <v>1859</v>
      </c>
      <c r="K766" s="308">
        <v>801116</v>
      </c>
      <c r="L766" s="306" t="s">
        <v>1860</v>
      </c>
      <c r="M766" s="306" t="s">
        <v>59</v>
      </c>
      <c r="N766" s="306" t="s">
        <v>60</v>
      </c>
      <c r="O766" s="308" t="s">
        <v>1910</v>
      </c>
      <c r="P766" s="308" t="s">
        <v>2294</v>
      </c>
      <c r="Q766" s="315">
        <v>4532000</v>
      </c>
      <c r="R766" s="306">
        <v>1</v>
      </c>
      <c r="S766" s="312">
        <v>0</v>
      </c>
      <c r="T766" s="306"/>
      <c r="U766" s="306" t="s">
        <v>1906</v>
      </c>
      <c r="V766" s="313"/>
      <c r="W766" s="314">
        <v>7.5</v>
      </c>
      <c r="X766" s="306" t="s">
        <v>2310</v>
      </c>
      <c r="Y766" s="313">
        <v>43103</v>
      </c>
      <c r="Z766" s="315">
        <v>0</v>
      </c>
      <c r="AA766" s="316" t="s">
        <v>2311</v>
      </c>
      <c r="AB766" s="317"/>
      <c r="AC766" s="313"/>
      <c r="AD766" s="312"/>
      <c r="AE766" s="318">
        <f t="shared" si="85"/>
        <v>0</v>
      </c>
      <c r="AF766" s="317"/>
      <c r="AG766" s="313"/>
      <c r="AH766" s="312"/>
      <c r="AI766" s="306"/>
      <c r="AJ766" s="306"/>
      <c r="AK766" s="318">
        <f t="shared" si="88"/>
        <v>0</v>
      </c>
      <c r="AL766" s="312">
        <v>0</v>
      </c>
      <c r="AM766" s="312">
        <f t="shared" si="86"/>
        <v>0</v>
      </c>
      <c r="AN766" s="306" t="s">
        <v>1863</v>
      </c>
      <c r="AO766" s="312">
        <f t="shared" si="87"/>
        <v>0</v>
      </c>
      <c r="AP766" s="306"/>
      <c r="AQ766" s="306"/>
      <c r="AR766" s="306" t="s">
        <v>2300</v>
      </c>
      <c r="AS766" s="306"/>
      <c r="AT766" s="306"/>
    </row>
    <row r="767" spans="1:46" ht="76.5" x14ac:dyDescent="0.25">
      <c r="A767" s="306">
        <v>172</v>
      </c>
      <c r="B767" s="306" t="str">
        <f t="shared" si="84"/>
        <v>3075-172</v>
      </c>
      <c r="C767" s="307" t="s">
        <v>1852</v>
      </c>
      <c r="D767" s="308" t="s">
        <v>1853</v>
      </c>
      <c r="E767" s="308" t="s">
        <v>1854</v>
      </c>
      <c r="F767" s="307" t="s">
        <v>1907</v>
      </c>
      <c r="G767" s="327" t="s">
        <v>1908</v>
      </c>
      <c r="H767" s="310" t="s">
        <v>1909</v>
      </c>
      <c r="I767" s="308" t="s">
        <v>1858</v>
      </c>
      <c r="J767" s="308" t="s">
        <v>1859</v>
      </c>
      <c r="K767" s="308">
        <v>801116</v>
      </c>
      <c r="L767" s="306" t="s">
        <v>1860</v>
      </c>
      <c r="M767" s="306" t="s">
        <v>59</v>
      </c>
      <c r="N767" s="306" t="s">
        <v>60</v>
      </c>
      <c r="O767" s="308" t="s">
        <v>1910</v>
      </c>
      <c r="P767" s="308" t="s">
        <v>2294</v>
      </c>
      <c r="Q767" s="315">
        <v>4532000</v>
      </c>
      <c r="R767" s="306">
        <v>1</v>
      </c>
      <c r="S767" s="312">
        <v>31724000</v>
      </c>
      <c r="T767" s="306" t="s">
        <v>900</v>
      </c>
      <c r="U767" s="306" t="s">
        <v>1906</v>
      </c>
      <c r="V767" s="313" t="s">
        <v>308</v>
      </c>
      <c r="W767" s="314">
        <v>7</v>
      </c>
      <c r="X767" s="306" t="s">
        <v>2312</v>
      </c>
      <c r="Y767" s="313">
        <v>43103</v>
      </c>
      <c r="Z767" s="315">
        <v>31724000</v>
      </c>
      <c r="AA767" s="316" t="s">
        <v>2311</v>
      </c>
      <c r="AB767" s="317">
        <v>352</v>
      </c>
      <c r="AC767" s="313">
        <v>43110</v>
      </c>
      <c r="AD767" s="312">
        <v>31724000</v>
      </c>
      <c r="AE767" s="318">
        <f t="shared" si="85"/>
        <v>0</v>
      </c>
      <c r="AF767" s="317">
        <v>398</v>
      </c>
      <c r="AG767" s="313">
        <v>43124</v>
      </c>
      <c r="AH767" s="312">
        <v>31724000</v>
      </c>
      <c r="AI767" s="306" t="s">
        <v>2313</v>
      </c>
      <c r="AJ767" s="306">
        <v>319</v>
      </c>
      <c r="AK767" s="318">
        <f t="shared" si="88"/>
        <v>0</v>
      </c>
      <c r="AL767" s="312">
        <f t="shared" ref="AL767:AL778" si="89">VLOOKUP(AB767,RP,13,FALSE)</f>
        <v>9970400</v>
      </c>
      <c r="AM767" s="312">
        <f t="shared" si="86"/>
        <v>21753600</v>
      </c>
      <c r="AN767" s="306" t="s">
        <v>1863</v>
      </c>
      <c r="AO767" s="312">
        <f t="shared" si="87"/>
        <v>0</v>
      </c>
      <c r="AP767" s="306"/>
      <c r="AQ767" s="306"/>
      <c r="AR767" s="306"/>
      <c r="AS767" s="306"/>
      <c r="AT767" s="306"/>
    </row>
    <row r="768" spans="1:46" ht="76.5" x14ac:dyDescent="0.25">
      <c r="A768" s="306">
        <v>173</v>
      </c>
      <c r="B768" s="306" t="str">
        <f t="shared" si="84"/>
        <v>3075-173</v>
      </c>
      <c r="C768" s="307" t="s">
        <v>1852</v>
      </c>
      <c r="D768" s="308" t="s">
        <v>1853</v>
      </c>
      <c r="E768" s="308" t="s">
        <v>1854</v>
      </c>
      <c r="F768" s="307" t="s">
        <v>1907</v>
      </c>
      <c r="G768" s="327" t="s">
        <v>1908</v>
      </c>
      <c r="H768" s="310" t="s">
        <v>1909</v>
      </c>
      <c r="I768" s="308" t="s">
        <v>1858</v>
      </c>
      <c r="J768" s="308" t="s">
        <v>1859</v>
      </c>
      <c r="K768" s="308">
        <v>801116</v>
      </c>
      <c r="L768" s="306" t="s">
        <v>1860</v>
      </c>
      <c r="M768" s="306" t="s">
        <v>59</v>
      </c>
      <c r="N768" s="306" t="s">
        <v>60</v>
      </c>
      <c r="O768" s="308" t="s">
        <v>1910</v>
      </c>
      <c r="P768" s="308" t="s">
        <v>2314</v>
      </c>
      <c r="Q768" s="315">
        <v>8240000</v>
      </c>
      <c r="R768" s="306">
        <v>1</v>
      </c>
      <c r="S768" s="312">
        <v>82400000</v>
      </c>
      <c r="T768" s="306" t="s">
        <v>900</v>
      </c>
      <c r="U768" s="306" t="s">
        <v>1906</v>
      </c>
      <c r="V768" s="313" t="s">
        <v>308</v>
      </c>
      <c r="W768" s="314">
        <v>10.333333333333334</v>
      </c>
      <c r="X768" s="306" t="s">
        <v>2315</v>
      </c>
      <c r="Y768" s="313">
        <v>43103</v>
      </c>
      <c r="Z768" s="315">
        <v>82400000</v>
      </c>
      <c r="AA768" s="316" t="s">
        <v>2303</v>
      </c>
      <c r="AB768" s="317">
        <v>356</v>
      </c>
      <c r="AC768" s="313">
        <v>43110</v>
      </c>
      <c r="AD768" s="312">
        <v>82400000</v>
      </c>
      <c r="AE768" s="318">
        <f t="shared" si="85"/>
        <v>0</v>
      </c>
      <c r="AF768" s="317">
        <v>347</v>
      </c>
      <c r="AG768" s="313">
        <v>43123</v>
      </c>
      <c r="AH768" s="312">
        <v>82400000</v>
      </c>
      <c r="AI768" s="306" t="s">
        <v>2316</v>
      </c>
      <c r="AJ768" s="306">
        <v>349</v>
      </c>
      <c r="AK768" s="318">
        <f t="shared" si="88"/>
        <v>0</v>
      </c>
      <c r="AL768" s="312">
        <f t="shared" si="89"/>
        <v>18128000</v>
      </c>
      <c r="AM768" s="312">
        <f t="shared" si="86"/>
        <v>64272000</v>
      </c>
      <c r="AN768" s="306" t="s">
        <v>1863</v>
      </c>
      <c r="AO768" s="312">
        <f t="shared" si="87"/>
        <v>0</v>
      </c>
      <c r="AP768" s="306"/>
      <c r="AQ768" s="306"/>
      <c r="AR768" s="306"/>
      <c r="AS768" s="306"/>
      <c r="AT768" s="306"/>
    </row>
    <row r="769" spans="1:46" ht="76.5" x14ac:dyDescent="0.25">
      <c r="A769" s="306">
        <v>174</v>
      </c>
      <c r="B769" s="306" t="str">
        <f t="shared" si="84"/>
        <v>3075-174</v>
      </c>
      <c r="C769" s="307" t="s">
        <v>1852</v>
      </c>
      <c r="D769" s="308" t="s">
        <v>1853</v>
      </c>
      <c r="E769" s="308" t="s">
        <v>1854</v>
      </c>
      <c r="F769" s="307" t="s">
        <v>1907</v>
      </c>
      <c r="G769" s="327" t="s">
        <v>1908</v>
      </c>
      <c r="H769" s="310" t="s">
        <v>1909</v>
      </c>
      <c r="I769" s="308" t="s">
        <v>1858</v>
      </c>
      <c r="J769" s="308" t="s">
        <v>1859</v>
      </c>
      <c r="K769" s="308">
        <v>801116</v>
      </c>
      <c r="L769" s="306" t="s">
        <v>1860</v>
      </c>
      <c r="M769" s="306" t="s">
        <v>59</v>
      </c>
      <c r="N769" s="306" t="s">
        <v>60</v>
      </c>
      <c r="O769" s="308" t="s">
        <v>1910</v>
      </c>
      <c r="P769" s="308" t="s">
        <v>2317</v>
      </c>
      <c r="Q769" s="315">
        <v>8240000</v>
      </c>
      <c r="R769" s="306">
        <v>1</v>
      </c>
      <c r="S769" s="312">
        <v>90640000</v>
      </c>
      <c r="T769" s="306" t="s">
        <v>900</v>
      </c>
      <c r="U769" s="306" t="s">
        <v>1906</v>
      </c>
      <c r="V769" s="313" t="s">
        <v>308</v>
      </c>
      <c r="W769" s="314">
        <v>10.5</v>
      </c>
      <c r="X769" s="306" t="s">
        <v>2318</v>
      </c>
      <c r="Y769" s="313">
        <v>43103</v>
      </c>
      <c r="Z769" s="315">
        <v>90640000</v>
      </c>
      <c r="AA769" s="316" t="s">
        <v>2199</v>
      </c>
      <c r="AB769" s="317">
        <v>320</v>
      </c>
      <c r="AC769" s="313">
        <v>43110</v>
      </c>
      <c r="AD769" s="312">
        <v>90640000</v>
      </c>
      <c r="AE769" s="318">
        <f t="shared" si="85"/>
        <v>0</v>
      </c>
      <c r="AF769" s="317">
        <v>380</v>
      </c>
      <c r="AG769" s="313">
        <v>43124</v>
      </c>
      <c r="AH769" s="312">
        <v>90640000</v>
      </c>
      <c r="AI769" s="306" t="s">
        <v>2319</v>
      </c>
      <c r="AJ769" s="306">
        <v>306</v>
      </c>
      <c r="AK769" s="318">
        <f t="shared" si="88"/>
        <v>0</v>
      </c>
      <c r="AL769" s="312">
        <f t="shared" si="89"/>
        <v>18402667</v>
      </c>
      <c r="AM769" s="312">
        <f t="shared" si="86"/>
        <v>72237333</v>
      </c>
      <c r="AN769" s="306" t="s">
        <v>1863</v>
      </c>
      <c r="AO769" s="312">
        <f t="shared" si="87"/>
        <v>0</v>
      </c>
      <c r="AP769" s="306"/>
      <c r="AQ769" s="306"/>
      <c r="AR769" s="306"/>
      <c r="AS769" s="306"/>
      <c r="AT769" s="306"/>
    </row>
    <row r="770" spans="1:46" ht="89.25" x14ac:dyDescent="0.25">
      <c r="A770" s="306">
        <v>175</v>
      </c>
      <c r="B770" s="306" t="str">
        <f t="shared" si="84"/>
        <v>3075-175</v>
      </c>
      <c r="C770" s="307" t="s">
        <v>1852</v>
      </c>
      <c r="D770" s="308" t="s">
        <v>1853</v>
      </c>
      <c r="E770" s="308" t="s">
        <v>1854</v>
      </c>
      <c r="F770" s="307" t="s">
        <v>1907</v>
      </c>
      <c r="G770" s="327" t="s">
        <v>1908</v>
      </c>
      <c r="H770" s="310" t="s">
        <v>1909</v>
      </c>
      <c r="I770" s="308" t="s">
        <v>1858</v>
      </c>
      <c r="J770" s="308" t="s">
        <v>1859</v>
      </c>
      <c r="K770" s="308">
        <v>801116</v>
      </c>
      <c r="L770" s="306" t="s">
        <v>1860</v>
      </c>
      <c r="M770" s="306" t="s">
        <v>59</v>
      </c>
      <c r="N770" s="306" t="s">
        <v>60</v>
      </c>
      <c r="O770" s="308" t="s">
        <v>1910</v>
      </c>
      <c r="P770" s="308" t="s">
        <v>2320</v>
      </c>
      <c r="Q770" s="315">
        <v>5036700</v>
      </c>
      <c r="R770" s="306">
        <v>1</v>
      </c>
      <c r="S770" s="312">
        <v>50367000</v>
      </c>
      <c r="T770" s="306" t="s">
        <v>900</v>
      </c>
      <c r="U770" s="306" t="s">
        <v>1906</v>
      </c>
      <c r="V770" s="313" t="s">
        <v>308</v>
      </c>
      <c r="W770" s="314">
        <v>10</v>
      </c>
      <c r="X770" s="306" t="s">
        <v>2321</v>
      </c>
      <c r="Y770" s="313">
        <v>43103</v>
      </c>
      <c r="Z770" s="315">
        <v>50367000</v>
      </c>
      <c r="AA770" s="316" t="s">
        <v>2299</v>
      </c>
      <c r="AB770" s="317">
        <v>347</v>
      </c>
      <c r="AC770" s="313">
        <v>43110</v>
      </c>
      <c r="AD770" s="312">
        <v>50367000</v>
      </c>
      <c r="AE770" s="318">
        <f t="shared" si="85"/>
        <v>0</v>
      </c>
      <c r="AF770" s="317">
        <v>402</v>
      </c>
      <c r="AG770" s="313">
        <v>43124</v>
      </c>
      <c r="AH770" s="312">
        <v>50367000</v>
      </c>
      <c r="AI770" s="306" t="s">
        <v>2322</v>
      </c>
      <c r="AJ770" s="306">
        <v>301</v>
      </c>
      <c r="AK770" s="318">
        <f t="shared" si="88"/>
        <v>0</v>
      </c>
      <c r="AL770" s="312">
        <f t="shared" si="89"/>
        <v>11080740</v>
      </c>
      <c r="AM770" s="312">
        <f t="shared" si="86"/>
        <v>39286260</v>
      </c>
      <c r="AN770" s="306" t="s">
        <v>1863</v>
      </c>
      <c r="AO770" s="312">
        <f t="shared" si="87"/>
        <v>0</v>
      </c>
      <c r="AP770" s="306"/>
      <c r="AQ770" s="306"/>
      <c r="AR770" s="306"/>
      <c r="AS770" s="306"/>
      <c r="AT770" s="306"/>
    </row>
    <row r="771" spans="1:46" ht="76.5" x14ac:dyDescent="0.25">
      <c r="A771" s="306">
        <v>176</v>
      </c>
      <c r="B771" s="306" t="str">
        <f t="shared" si="84"/>
        <v>3075-176</v>
      </c>
      <c r="C771" s="307" t="s">
        <v>1852</v>
      </c>
      <c r="D771" s="308" t="s">
        <v>1853</v>
      </c>
      <c r="E771" s="308" t="s">
        <v>1854</v>
      </c>
      <c r="F771" s="307" t="s">
        <v>1907</v>
      </c>
      <c r="G771" s="327" t="s">
        <v>1908</v>
      </c>
      <c r="H771" s="310" t="s">
        <v>1909</v>
      </c>
      <c r="I771" s="308" t="s">
        <v>1858</v>
      </c>
      <c r="J771" s="308" t="s">
        <v>1859</v>
      </c>
      <c r="K771" s="308">
        <v>801116</v>
      </c>
      <c r="L771" s="306" t="s">
        <v>1860</v>
      </c>
      <c r="M771" s="306" t="s">
        <v>59</v>
      </c>
      <c r="N771" s="306" t="s">
        <v>60</v>
      </c>
      <c r="O771" s="308" t="s">
        <v>1910</v>
      </c>
      <c r="P771" s="308" t="s">
        <v>2323</v>
      </c>
      <c r="Q771" s="315">
        <v>2472000</v>
      </c>
      <c r="R771" s="306">
        <v>1</v>
      </c>
      <c r="S771" s="312">
        <v>27192000</v>
      </c>
      <c r="T771" s="306" t="s">
        <v>934</v>
      </c>
      <c r="U771" s="306" t="s">
        <v>1906</v>
      </c>
      <c r="V771" s="313" t="s">
        <v>308</v>
      </c>
      <c r="W771" s="314">
        <v>11</v>
      </c>
      <c r="X771" s="306" t="s">
        <v>2324</v>
      </c>
      <c r="Y771" s="313">
        <v>43103</v>
      </c>
      <c r="Z771" s="315">
        <v>27192000</v>
      </c>
      <c r="AA771" s="316" t="s">
        <v>2228</v>
      </c>
      <c r="AB771" s="317">
        <v>365</v>
      </c>
      <c r="AC771" s="313">
        <v>43110</v>
      </c>
      <c r="AD771" s="312">
        <v>27192000</v>
      </c>
      <c r="AE771" s="318">
        <f t="shared" si="85"/>
        <v>0</v>
      </c>
      <c r="AF771" s="317">
        <v>341</v>
      </c>
      <c r="AG771" s="313">
        <v>43123</v>
      </c>
      <c r="AH771" s="312">
        <v>27192000</v>
      </c>
      <c r="AI771" s="306" t="s">
        <v>2325</v>
      </c>
      <c r="AJ771" s="306">
        <v>292</v>
      </c>
      <c r="AK771" s="318">
        <f t="shared" si="88"/>
        <v>0</v>
      </c>
      <c r="AL771" s="312">
        <f t="shared" si="89"/>
        <v>5520800</v>
      </c>
      <c r="AM771" s="312">
        <f t="shared" si="86"/>
        <v>21671200</v>
      </c>
      <c r="AN771" s="306" t="s">
        <v>1863</v>
      </c>
      <c r="AO771" s="312">
        <f t="shared" si="87"/>
        <v>0</v>
      </c>
      <c r="AP771" s="306"/>
      <c r="AQ771" s="306"/>
      <c r="AR771" s="306"/>
      <c r="AS771" s="306"/>
      <c r="AT771" s="306"/>
    </row>
    <row r="772" spans="1:46" ht="140.25" x14ac:dyDescent="0.25">
      <c r="A772" s="306">
        <v>177</v>
      </c>
      <c r="B772" s="306" t="str">
        <f t="shared" si="84"/>
        <v>3075-177</v>
      </c>
      <c r="C772" s="307" t="s">
        <v>1852</v>
      </c>
      <c r="D772" s="308" t="s">
        <v>1853</v>
      </c>
      <c r="E772" s="308" t="s">
        <v>2119</v>
      </c>
      <c r="F772" s="307" t="s">
        <v>1907</v>
      </c>
      <c r="G772" s="327" t="s">
        <v>1908</v>
      </c>
      <c r="H772" s="310" t="s">
        <v>1909</v>
      </c>
      <c r="I772" s="308" t="s">
        <v>1858</v>
      </c>
      <c r="J772" s="308" t="s">
        <v>1859</v>
      </c>
      <c r="K772" s="308">
        <v>801116</v>
      </c>
      <c r="L772" s="306" t="s">
        <v>1860</v>
      </c>
      <c r="M772" s="306" t="s">
        <v>59</v>
      </c>
      <c r="N772" s="306" t="s">
        <v>60</v>
      </c>
      <c r="O772" s="308" t="s">
        <v>1910</v>
      </c>
      <c r="P772" s="308" t="s">
        <v>2326</v>
      </c>
      <c r="Q772" s="315">
        <v>4120000</v>
      </c>
      <c r="R772" s="306">
        <v>1</v>
      </c>
      <c r="S772" s="312">
        <v>24720000</v>
      </c>
      <c r="T772" s="306" t="s">
        <v>900</v>
      </c>
      <c r="U772" s="306" t="s">
        <v>1906</v>
      </c>
      <c r="V772" s="313" t="s">
        <v>308</v>
      </c>
      <c r="W772" s="314">
        <v>6</v>
      </c>
      <c r="X772" s="306" t="s">
        <v>2327</v>
      </c>
      <c r="Y772" s="313">
        <v>43103</v>
      </c>
      <c r="Z772" s="315">
        <v>24720000</v>
      </c>
      <c r="AA772" s="316" t="s">
        <v>2328</v>
      </c>
      <c r="AB772" s="317">
        <v>366</v>
      </c>
      <c r="AC772" s="313">
        <v>43110</v>
      </c>
      <c r="AD772" s="312">
        <v>24720000</v>
      </c>
      <c r="AE772" s="318">
        <f t="shared" si="85"/>
        <v>0</v>
      </c>
      <c r="AF772" s="317">
        <v>286</v>
      </c>
      <c r="AG772" s="313">
        <v>43122</v>
      </c>
      <c r="AH772" s="312">
        <v>24720000</v>
      </c>
      <c r="AI772" s="306" t="s">
        <v>2329</v>
      </c>
      <c r="AJ772" s="306">
        <v>256</v>
      </c>
      <c r="AK772" s="318">
        <f t="shared" si="88"/>
        <v>0</v>
      </c>
      <c r="AL772" s="312">
        <f t="shared" si="89"/>
        <v>9476000</v>
      </c>
      <c r="AM772" s="312">
        <f t="shared" si="86"/>
        <v>15244000</v>
      </c>
      <c r="AN772" s="306" t="s">
        <v>1863</v>
      </c>
      <c r="AO772" s="312">
        <f t="shared" si="87"/>
        <v>0</v>
      </c>
      <c r="AP772" s="306"/>
      <c r="AQ772" s="306"/>
      <c r="AR772" s="306"/>
      <c r="AS772" s="306"/>
      <c r="AT772" s="306"/>
    </row>
    <row r="773" spans="1:46" ht="76.5" x14ac:dyDescent="0.25">
      <c r="A773" s="306">
        <v>178</v>
      </c>
      <c r="B773" s="306" t="str">
        <f t="shared" si="84"/>
        <v>3075-178</v>
      </c>
      <c r="C773" s="307" t="s">
        <v>1852</v>
      </c>
      <c r="D773" s="308" t="s">
        <v>1853</v>
      </c>
      <c r="E773" s="308" t="s">
        <v>1854</v>
      </c>
      <c r="F773" s="307" t="s">
        <v>1907</v>
      </c>
      <c r="G773" s="327" t="s">
        <v>1908</v>
      </c>
      <c r="H773" s="310" t="s">
        <v>1909</v>
      </c>
      <c r="I773" s="308" t="s">
        <v>1858</v>
      </c>
      <c r="J773" s="308" t="s">
        <v>1859</v>
      </c>
      <c r="K773" s="308">
        <v>801116</v>
      </c>
      <c r="L773" s="306" t="s">
        <v>1860</v>
      </c>
      <c r="M773" s="306" t="s">
        <v>59</v>
      </c>
      <c r="N773" s="306" t="s">
        <v>60</v>
      </c>
      <c r="O773" s="308" t="s">
        <v>1910</v>
      </c>
      <c r="P773" s="308" t="s">
        <v>2330</v>
      </c>
      <c r="Q773" s="315">
        <v>7210000</v>
      </c>
      <c r="R773" s="306">
        <v>1</v>
      </c>
      <c r="S773" s="312">
        <v>43260000</v>
      </c>
      <c r="T773" s="306" t="s">
        <v>900</v>
      </c>
      <c r="U773" s="306" t="s">
        <v>1906</v>
      </c>
      <c r="V773" s="313" t="s">
        <v>308</v>
      </c>
      <c r="W773" s="314">
        <v>6</v>
      </c>
      <c r="X773" s="306" t="s">
        <v>2331</v>
      </c>
      <c r="Y773" s="313">
        <v>43195</v>
      </c>
      <c r="Z773" s="315">
        <v>43260000</v>
      </c>
      <c r="AA773" s="316" t="s">
        <v>1931</v>
      </c>
      <c r="AB773" s="317">
        <v>393</v>
      </c>
      <c r="AC773" s="313">
        <v>43110</v>
      </c>
      <c r="AD773" s="312">
        <v>43260000</v>
      </c>
      <c r="AE773" s="318">
        <f t="shared" si="85"/>
        <v>0</v>
      </c>
      <c r="AF773" s="317">
        <v>90</v>
      </c>
      <c r="AG773" s="313">
        <v>43116</v>
      </c>
      <c r="AH773" s="312">
        <v>43260000</v>
      </c>
      <c r="AI773" s="306" t="s">
        <v>2332</v>
      </c>
      <c r="AJ773" s="306">
        <v>78</v>
      </c>
      <c r="AK773" s="318">
        <f t="shared" si="88"/>
        <v>0</v>
      </c>
      <c r="AL773" s="312">
        <f t="shared" si="89"/>
        <v>17784667</v>
      </c>
      <c r="AM773" s="312">
        <f t="shared" si="86"/>
        <v>25475333</v>
      </c>
      <c r="AN773" s="306" t="s">
        <v>1863</v>
      </c>
      <c r="AO773" s="312">
        <f t="shared" si="87"/>
        <v>0</v>
      </c>
      <c r="AP773" s="306"/>
      <c r="AQ773" s="306"/>
      <c r="AR773" s="306"/>
      <c r="AS773" s="306"/>
      <c r="AT773" s="306"/>
    </row>
    <row r="774" spans="1:46" ht="127.5" x14ac:dyDescent="0.25">
      <c r="A774" s="306">
        <v>179</v>
      </c>
      <c r="B774" s="306" t="str">
        <f t="shared" si="84"/>
        <v>3075-179</v>
      </c>
      <c r="C774" s="307" t="s">
        <v>1852</v>
      </c>
      <c r="D774" s="308" t="s">
        <v>1853</v>
      </c>
      <c r="E774" s="308" t="s">
        <v>2119</v>
      </c>
      <c r="F774" s="307" t="s">
        <v>1907</v>
      </c>
      <c r="G774" s="327" t="s">
        <v>1908</v>
      </c>
      <c r="H774" s="335" t="s">
        <v>1909</v>
      </c>
      <c r="I774" s="308" t="s">
        <v>1858</v>
      </c>
      <c r="J774" s="308" t="s">
        <v>1859</v>
      </c>
      <c r="K774" s="308">
        <v>801116</v>
      </c>
      <c r="L774" s="306" t="s">
        <v>1860</v>
      </c>
      <c r="M774" s="306" t="s">
        <v>59</v>
      </c>
      <c r="N774" s="306" t="s">
        <v>60</v>
      </c>
      <c r="O774" s="308" t="s">
        <v>1910</v>
      </c>
      <c r="P774" s="329" t="s">
        <v>2333</v>
      </c>
      <c r="Q774" s="315">
        <v>3399000</v>
      </c>
      <c r="R774" s="306">
        <v>1</v>
      </c>
      <c r="S774" s="312">
        <v>16995000</v>
      </c>
      <c r="T774" s="306" t="s">
        <v>900</v>
      </c>
      <c r="U774" s="306" t="s">
        <v>1906</v>
      </c>
      <c r="V774" s="313" t="s">
        <v>308</v>
      </c>
      <c r="W774" s="314">
        <v>5</v>
      </c>
      <c r="X774" s="329" t="s">
        <v>2334</v>
      </c>
      <c r="Y774" s="313">
        <v>43104</v>
      </c>
      <c r="Z774" s="315">
        <v>16995000</v>
      </c>
      <c r="AA774" s="316" t="s">
        <v>2335</v>
      </c>
      <c r="AB774" s="317">
        <v>369</v>
      </c>
      <c r="AC774" s="313">
        <v>43110</v>
      </c>
      <c r="AD774" s="312">
        <v>16995000</v>
      </c>
      <c r="AE774" s="318">
        <f t="shared" si="85"/>
        <v>0</v>
      </c>
      <c r="AF774" s="317">
        <v>336</v>
      </c>
      <c r="AG774" s="313">
        <v>43123</v>
      </c>
      <c r="AH774" s="312">
        <v>16995000</v>
      </c>
      <c r="AI774" s="306" t="s">
        <v>2336</v>
      </c>
      <c r="AJ774" s="306">
        <v>341</v>
      </c>
      <c r="AK774" s="318">
        <f t="shared" si="88"/>
        <v>0</v>
      </c>
      <c r="AL774" s="312">
        <f t="shared" si="89"/>
        <v>7477800</v>
      </c>
      <c r="AM774" s="312">
        <f t="shared" si="86"/>
        <v>9517200</v>
      </c>
      <c r="AN774" s="306" t="s">
        <v>1863</v>
      </c>
      <c r="AO774" s="312">
        <f t="shared" si="87"/>
        <v>0</v>
      </c>
      <c r="AP774" s="306"/>
      <c r="AQ774" s="306"/>
      <c r="AR774" s="306"/>
      <c r="AS774" s="306"/>
      <c r="AT774" s="306"/>
    </row>
    <row r="775" spans="1:46" ht="140.25" x14ac:dyDescent="0.25">
      <c r="A775" s="306">
        <v>180</v>
      </c>
      <c r="B775" s="306" t="str">
        <f t="shared" si="84"/>
        <v>3075-180</v>
      </c>
      <c r="C775" s="307" t="s">
        <v>1852</v>
      </c>
      <c r="D775" s="308" t="s">
        <v>1853</v>
      </c>
      <c r="E775" s="308" t="s">
        <v>2119</v>
      </c>
      <c r="F775" s="307" t="s">
        <v>1907</v>
      </c>
      <c r="G775" s="327" t="s">
        <v>1908</v>
      </c>
      <c r="H775" s="335" t="s">
        <v>1909</v>
      </c>
      <c r="I775" s="308" t="s">
        <v>1858</v>
      </c>
      <c r="J775" s="308" t="s">
        <v>1859</v>
      </c>
      <c r="K775" s="308">
        <v>801116</v>
      </c>
      <c r="L775" s="306" t="s">
        <v>1860</v>
      </c>
      <c r="M775" s="306" t="s">
        <v>59</v>
      </c>
      <c r="N775" s="306" t="s">
        <v>60</v>
      </c>
      <c r="O775" s="308" t="s">
        <v>1910</v>
      </c>
      <c r="P775" s="329" t="s">
        <v>2337</v>
      </c>
      <c r="Q775" s="315">
        <v>1751000</v>
      </c>
      <c r="R775" s="333">
        <v>1</v>
      </c>
      <c r="S775" s="312">
        <v>10506000</v>
      </c>
      <c r="T775" s="306" t="s">
        <v>934</v>
      </c>
      <c r="U775" s="306" t="s">
        <v>1906</v>
      </c>
      <c r="V775" s="313" t="s">
        <v>308</v>
      </c>
      <c r="W775" s="314">
        <v>6</v>
      </c>
      <c r="X775" s="329" t="s">
        <v>2338</v>
      </c>
      <c r="Y775" s="313">
        <v>43104</v>
      </c>
      <c r="Z775" s="315">
        <v>10506000</v>
      </c>
      <c r="AA775" s="316" t="s">
        <v>2339</v>
      </c>
      <c r="AB775" s="317">
        <v>449</v>
      </c>
      <c r="AC775" s="313">
        <v>43111</v>
      </c>
      <c r="AD775" s="312">
        <v>10506000</v>
      </c>
      <c r="AE775" s="318">
        <f t="shared" si="85"/>
        <v>0</v>
      </c>
      <c r="AF775" s="317">
        <v>503</v>
      </c>
      <c r="AG775" s="313">
        <v>43126</v>
      </c>
      <c r="AH775" s="312">
        <v>10506000</v>
      </c>
      <c r="AI775" s="306" t="s">
        <v>2340</v>
      </c>
      <c r="AJ775" s="306">
        <v>412</v>
      </c>
      <c r="AK775" s="318">
        <f t="shared" si="88"/>
        <v>0</v>
      </c>
      <c r="AL775" s="312">
        <f t="shared" si="89"/>
        <v>3618733</v>
      </c>
      <c r="AM775" s="312">
        <f t="shared" si="86"/>
        <v>6887267</v>
      </c>
      <c r="AN775" s="306" t="s">
        <v>1863</v>
      </c>
      <c r="AO775" s="312">
        <f t="shared" si="87"/>
        <v>0</v>
      </c>
      <c r="AP775" s="306"/>
      <c r="AQ775" s="306"/>
      <c r="AR775" s="306"/>
      <c r="AS775" s="306"/>
      <c r="AT775" s="306"/>
    </row>
    <row r="776" spans="1:46" ht="140.25" x14ac:dyDescent="0.25">
      <c r="A776" s="306">
        <v>181</v>
      </c>
      <c r="B776" s="306" t="str">
        <f t="shared" si="84"/>
        <v>3075-181</v>
      </c>
      <c r="C776" s="307" t="s">
        <v>1852</v>
      </c>
      <c r="D776" s="308" t="s">
        <v>1853</v>
      </c>
      <c r="E776" s="308" t="s">
        <v>2119</v>
      </c>
      <c r="F776" s="307" t="s">
        <v>1907</v>
      </c>
      <c r="G776" s="327" t="s">
        <v>1908</v>
      </c>
      <c r="H776" s="335" t="s">
        <v>1909</v>
      </c>
      <c r="I776" s="308" t="s">
        <v>1858</v>
      </c>
      <c r="J776" s="308" t="s">
        <v>1859</v>
      </c>
      <c r="K776" s="308">
        <v>801116</v>
      </c>
      <c r="L776" s="306" t="s">
        <v>1860</v>
      </c>
      <c r="M776" s="306" t="s">
        <v>59</v>
      </c>
      <c r="N776" s="306" t="s">
        <v>60</v>
      </c>
      <c r="O776" s="308" t="s">
        <v>1910</v>
      </c>
      <c r="P776" s="329" t="s">
        <v>2341</v>
      </c>
      <c r="Q776" s="315">
        <v>1751000</v>
      </c>
      <c r="R776" s="333">
        <v>1</v>
      </c>
      <c r="S776" s="312">
        <v>10506000</v>
      </c>
      <c r="T776" s="306" t="s">
        <v>934</v>
      </c>
      <c r="U776" s="306" t="s">
        <v>1906</v>
      </c>
      <c r="V776" s="313" t="s">
        <v>308</v>
      </c>
      <c r="W776" s="314">
        <v>6</v>
      </c>
      <c r="X776" s="329" t="s">
        <v>2342</v>
      </c>
      <c r="Y776" s="313">
        <v>43104</v>
      </c>
      <c r="Z776" s="315">
        <v>10506000</v>
      </c>
      <c r="AA776" s="316" t="s">
        <v>2339</v>
      </c>
      <c r="AB776" s="317">
        <v>371</v>
      </c>
      <c r="AC776" s="313">
        <v>43110</v>
      </c>
      <c r="AD776" s="312">
        <v>10506000</v>
      </c>
      <c r="AE776" s="318">
        <f t="shared" si="85"/>
        <v>0</v>
      </c>
      <c r="AF776" s="317">
        <v>455</v>
      </c>
      <c r="AG776" s="313">
        <v>43126</v>
      </c>
      <c r="AH776" s="312">
        <v>10506000</v>
      </c>
      <c r="AI776" s="306" t="s">
        <v>2343</v>
      </c>
      <c r="AJ776" s="306">
        <v>353</v>
      </c>
      <c r="AK776" s="318">
        <f t="shared" si="88"/>
        <v>0</v>
      </c>
      <c r="AL776" s="312">
        <f t="shared" si="89"/>
        <v>3793833</v>
      </c>
      <c r="AM776" s="312">
        <f t="shared" si="86"/>
        <v>6712167</v>
      </c>
      <c r="AN776" s="306" t="s">
        <v>1863</v>
      </c>
      <c r="AO776" s="312">
        <f t="shared" si="87"/>
        <v>0</v>
      </c>
      <c r="AP776" s="306"/>
      <c r="AQ776" s="306"/>
      <c r="AR776" s="306"/>
      <c r="AS776" s="306"/>
      <c r="AT776" s="306"/>
    </row>
    <row r="777" spans="1:46" ht="127.5" x14ac:dyDescent="0.25">
      <c r="A777" s="306">
        <v>182</v>
      </c>
      <c r="B777" s="306" t="str">
        <f t="shared" si="84"/>
        <v>3075-182</v>
      </c>
      <c r="C777" s="307" t="s">
        <v>1852</v>
      </c>
      <c r="D777" s="308" t="s">
        <v>1853</v>
      </c>
      <c r="E777" s="308" t="s">
        <v>2119</v>
      </c>
      <c r="F777" s="307" t="s">
        <v>1907</v>
      </c>
      <c r="G777" s="327" t="s">
        <v>1908</v>
      </c>
      <c r="H777" s="335" t="s">
        <v>1909</v>
      </c>
      <c r="I777" s="308" t="s">
        <v>1858</v>
      </c>
      <c r="J777" s="308" t="s">
        <v>1859</v>
      </c>
      <c r="K777" s="308">
        <v>801116</v>
      </c>
      <c r="L777" s="306" t="s">
        <v>1860</v>
      </c>
      <c r="M777" s="306" t="s">
        <v>59</v>
      </c>
      <c r="N777" s="306" t="s">
        <v>60</v>
      </c>
      <c r="O777" s="308" t="s">
        <v>1910</v>
      </c>
      <c r="P777" s="329" t="s">
        <v>2333</v>
      </c>
      <c r="Q777" s="315">
        <v>3399000</v>
      </c>
      <c r="R777" s="306">
        <v>1</v>
      </c>
      <c r="S777" s="312">
        <v>20394000</v>
      </c>
      <c r="T777" s="306" t="s">
        <v>900</v>
      </c>
      <c r="U777" s="306" t="s">
        <v>1906</v>
      </c>
      <c r="V777" s="313" t="s">
        <v>308</v>
      </c>
      <c r="W777" s="314">
        <v>6</v>
      </c>
      <c r="X777" s="329" t="s">
        <v>2344</v>
      </c>
      <c r="Y777" s="313">
        <v>43104</v>
      </c>
      <c r="Z777" s="315">
        <v>20394000</v>
      </c>
      <c r="AA777" s="316" t="s">
        <v>2335</v>
      </c>
      <c r="AB777" s="317">
        <v>372</v>
      </c>
      <c r="AC777" s="313">
        <v>43110</v>
      </c>
      <c r="AD777" s="312">
        <v>20394000</v>
      </c>
      <c r="AE777" s="318">
        <f t="shared" si="85"/>
        <v>0</v>
      </c>
      <c r="AF777" s="317">
        <v>282</v>
      </c>
      <c r="AG777" s="313">
        <v>43122</v>
      </c>
      <c r="AH777" s="312">
        <v>20394000</v>
      </c>
      <c r="AI777" s="306" t="s">
        <v>2345</v>
      </c>
      <c r="AJ777" s="306">
        <v>252</v>
      </c>
      <c r="AK777" s="318">
        <f t="shared" si="88"/>
        <v>0</v>
      </c>
      <c r="AL777" s="312">
        <f t="shared" si="89"/>
        <v>7817700</v>
      </c>
      <c r="AM777" s="312">
        <f t="shared" si="86"/>
        <v>12576300</v>
      </c>
      <c r="AN777" s="306" t="s">
        <v>1863</v>
      </c>
      <c r="AO777" s="312">
        <f t="shared" si="87"/>
        <v>0</v>
      </c>
      <c r="AP777" s="306"/>
      <c r="AQ777" s="306"/>
      <c r="AR777" s="306"/>
      <c r="AS777" s="306"/>
      <c r="AT777" s="306"/>
    </row>
    <row r="778" spans="1:46" ht="140.25" x14ac:dyDescent="0.25">
      <c r="A778" s="306">
        <v>183</v>
      </c>
      <c r="B778" s="306" t="str">
        <f t="shared" si="84"/>
        <v>3075-183</v>
      </c>
      <c r="C778" s="307" t="s">
        <v>1852</v>
      </c>
      <c r="D778" s="308" t="s">
        <v>1853</v>
      </c>
      <c r="E778" s="308" t="s">
        <v>2119</v>
      </c>
      <c r="F778" s="307" t="s">
        <v>1907</v>
      </c>
      <c r="G778" s="327" t="s">
        <v>1908</v>
      </c>
      <c r="H778" s="335" t="s">
        <v>1909</v>
      </c>
      <c r="I778" s="308" t="s">
        <v>1858</v>
      </c>
      <c r="J778" s="308" t="s">
        <v>1859</v>
      </c>
      <c r="K778" s="308">
        <v>801116</v>
      </c>
      <c r="L778" s="306" t="s">
        <v>1860</v>
      </c>
      <c r="M778" s="306" t="s">
        <v>59</v>
      </c>
      <c r="N778" s="306" t="s">
        <v>60</v>
      </c>
      <c r="O778" s="308" t="s">
        <v>1910</v>
      </c>
      <c r="P778" s="329" t="s">
        <v>2346</v>
      </c>
      <c r="Q778" s="315">
        <v>5665000</v>
      </c>
      <c r="R778" s="333">
        <v>1</v>
      </c>
      <c r="S778" s="312">
        <v>33990000</v>
      </c>
      <c r="T778" s="306" t="s">
        <v>900</v>
      </c>
      <c r="U778" s="306" t="s">
        <v>1906</v>
      </c>
      <c r="V778" s="313" t="s">
        <v>308</v>
      </c>
      <c r="W778" s="314">
        <v>6</v>
      </c>
      <c r="X778" s="329" t="s">
        <v>2347</v>
      </c>
      <c r="Y778" s="313">
        <v>43104</v>
      </c>
      <c r="Z778" s="315">
        <v>33990000</v>
      </c>
      <c r="AA778" s="316" t="s">
        <v>2348</v>
      </c>
      <c r="AB778" s="317">
        <v>454</v>
      </c>
      <c r="AC778" s="313">
        <v>43111</v>
      </c>
      <c r="AD778" s="312">
        <v>33990000</v>
      </c>
      <c r="AE778" s="318">
        <f t="shared" si="85"/>
        <v>0</v>
      </c>
      <c r="AF778" s="317">
        <v>321</v>
      </c>
      <c r="AG778" s="313">
        <v>43123</v>
      </c>
      <c r="AH778" s="312">
        <v>33990000</v>
      </c>
      <c r="AI778" s="306" t="s">
        <v>2349</v>
      </c>
      <c r="AJ778" s="306">
        <v>262</v>
      </c>
      <c r="AK778" s="318">
        <f t="shared" si="88"/>
        <v>0</v>
      </c>
      <c r="AL778" s="312">
        <f t="shared" si="89"/>
        <v>12651833</v>
      </c>
      <c r="AM778" s="312">
        <f t="shared" si="86"/>
        <v>21338167</v>
      </c>
      <c r="AN778" s="306" t="s">
        <v>1863</v>
      </c>
      <c r="AO778" s="312">
        <f t="shared" si="87"/>
        <v>0</v>
      </c>
      <c r="AP778" s="306"/>
      <c r="AQ778" s="306"/>
      <c r="AR778" s="306"/>
      <c r="AS778" s="306"/>
      <c r="AT778" s="306"/>
    </row>
    <row r="779" spans="1:46" ht="140.25" x14ac:dyDescent="0.25">
      <c r="A779" s="306">
        <v>184</v>
      </c>
      <c r="B779" s="306" t="str">
        <f t="shared" si="84"/>
        <v>3075-184</v>
      </c>
      <c r="C779" s="307" t="s">
        <v>1852</v>
      </c>
      <c r="D779" s="308" t="s">
        <v>1853</v>
      </c>
      <c r="E779" s="308" t="s">
        <v>2119</v>
      </c>
      <c r="F779" s="307" t="s">
        <v>1907</v>
      </c>
      <c r="G779" s="327" t="s">
        <v>1908</v>
      </c>
      <c r="H779" s="335" t="s">
        <v>1909</v>
      </c>
      <c r="I779" s="308" t="s">
        <v>1858</v>
      </c>
      <c r="J779" s="308" t="s">
        <v>1859</v>
      </c>
      <c r="K779" s="308">
        <v>801116</v>
      </c>
      <c r="L779" s="306" t="s">
        <v>1860</v>
      </c>
      <c r="M779" s="306" t="s">
        <v>59</v>
      </c>
      <c r="N779" s="306" t="s">
        <v>60</v>
      </c>
      <c r="O779" s="308" t="s">
        <v>1910</v>
      </c>
      <c r="P779" s="329" t="s">
        <v>2174</v>
      </c>
      <c r="Q779" s="315">
        <v>5253000</v>
      </c>
      <c r="R779" s="333">
        <v>1</v>
      </c>
      <c r="S779" s="312">
        <v>47277000</v>
      </c>
      <c r="T779" s="306"/>
      <c r="U779" s="306" t="s">
        <v>1906</v>
      </c>
      <c r="V779" s="320" t="s">
        <v>302</v>
      </c>
      <c r="W779" s="314">
        <v>6.444444444444442</v>
      </c>
      <c r="X779" s="329" t="s">
        <v>2350</v>
      </c>
      <c r="Y779" s="313">
        <v>43104</v>
      </c>
      <c r="Z779" s="315">
        <v>47277000</v>
      </c>
      <c r="AA779" s="316" t="s">
        <v>2351</v>
      </c>
      <c r="AB779" s="317"/>
      <c r="AC779" s="313"/>
      <c r="AD779" s="312"/>
      <c r="AE779" s="318">
        <f t="shared" si="85"/>
        <v>0</v>
      </c>
      <c r="AF779" s="317"/>
      <c r="AG779" s="313"/>
      <c r="AH779" s="312"/>
      <c r="AI779" s="306"/>
      <c r="AJ779" s="306"/>
      <c r="AK779" s="318">
        <f t="shared" si="88"/>
        <v>0</v>
      </c>
      <c r="AL779" s="312">
        <v>0</v>
      </c>
      <c r="AM779" s="312">
        <f t="shared" si="86"/>
        <v>0</v>
      </c>
      <c r="AN779" s="306" t="s">
        <v>1863</v>
      </c>
      <c r="AO779" s="312">
        <f t="shared" si="87"/>
        <v>47277000</v>
      </c>
      <c r="AP779" s="306"/>
      <c r="AQ779" s="306"/>
      <c r="AR779" s="306"/>
      <c r="AS779" s="306"/>
      <c r="AT779" s="306"/>
    </row>
    <row r="780" spans="1:46" ht="140.25" x14ac:dyDescent="0.25">
      <c r="A780" s="306">
        <v>185</v>
      </c>
      <c r="B780" s="306" t="str">
        <f t="shared" si="84"/>
        <v>3075-185</v>
      </c>
      <c r="C780" s="307" t="s">
        <v>1852</v>
      </c>
      <c r="D780" s="308" t="s">
        <v>1853</v>
      </c>
      <c r="E780" s="308" t="s">
        <v>2119</v>
      </c>
      <c r="F780" s="307" t="s">
        <v>1907</v>
      </c>
      <c r="G780" s="327" t="s">
        <v>1908</v>
      </c>
      <c r="H780" s="335" t="s">
        <v>1909</v>
      </c>
      <c r="I780" s="308" t="s">
        <v>1858</v>
      </c>
      <c r="J780" s="308" t="s">
        <v>1859</v>
      </c>
      <c r="K780" s="308">
        <v>801116</v>
      </c>
      <c r="L780" s="306" t="s">
        <v>1860</v>
      </c>
      <c r="M780" s="306" t="s">
        <v>59</v>
      </c>
      <c r="N780" s="306" t="s">
        <v>60</v>
      </c>
      <c r="O780" s="308" t="s">
        <v>1910</v>
      </c>
      <c r="P780" s="329" t="s">
        <v>2152</v>
      </c>
      <c r="Q780" s="315">
        <v>1545000</v>
      </c>
      <c r="R780" s="333">
        <v>1</v>
      </c>
      <c r="S780" s="312">
        <v>9270000</v>
      </c>
      <c r="T780" s="306" t="s">
        <v>934</v>
      </c>
      <c r="U780" s="306" t="s">
        <v>1906</v>
      </c>
      <c r="V780" s="313" t="s">
        <v>308</v>
      </c>
      <c r="W780" s="314">
        <v>6</v>
      </c>
      <c r="X780" s="329" t="s">
        <v>2352</v>
      </c>
      <c r="Y780" s="313">
        <v>43104</v>
      </c>
      <c r="Z780" s="315">
        <v>9270000</v>
      </c>
      <c r="AA780" s="316" t="s">
        <v>2353</v>
      </c>
      <c r="AB780" s="317">
        <v>435</v>
      </c>
      <c r="AC780" s="313">
        <v>43111</v>
      </c>
      <c r="AD780" s="312">
        <v>9270000</v>
      </c>
      <c r="AE780" s="318">
        <f t="shared" si="85"/>
        <v>0</v>
      </c>
      <c r="AF780" s="317">
        <v>409</v>
      </c>
      <c r="AG780" s="313">
        <v>43124</v>
      </c>
      <c r="AH780" s="312">
        <v>9270000</v>
      </c>
      <c r="AI780" s="306" t="s">
        <v>2354</v>
      </c>
      <c r="AJ780" s="306">
        <v>358</v>
      </c>
      <c r="AK780" s="318">
        <f t="shared" si="88"/>
        <v>0</v>
      </c>
      <c r="AL780" s="312">
        <f t="shared" ref="AL780:AL815" si="90">VLOOKUP(AB780,RP,13,FALSE)</f>
        <v>3399000</v>
      </c>
      <c r="AM780" s="312">
        <f t="shared" si="86"/>
        <v>5871000</v>
      </c>
      <c r="AN780" s="306" t="s">
        <v>1863</v>
      </c>
      <c r="AO780" s="312">
        <f t="shared" si="87"/>
        <v>0</v>
      </c>
      <c r="AP780" s="306"/>
      <c r="AQ780" s="306"/>
      <c r="AR780" s="306"/>
      <c r="AS780" s="306"/>
      <c r="AT780" s="306"/>
    </row>
    <row r="781" spans="1:46" ht="140.25" x14ac:dyDescent="0.25">
      <c r="A781" s="306">
        <v>186</v>
      </c>
      <c r="B781" s="306" t="str">
        <f t="shared" si="84"/>
        <v>3075-186</v>
      </c>
      <c r="C781" s="307" t="s">
        <v>1852</v>
      </c>
      <c r="D781" s="308" t="s">
        <v>1853</v>
      </c>
      <c r="E781" s="308" t="s">
        <v>2119</v>
      </c>
      <c r="F781" s="307" t="s">
        <v>1907</v>
      </c>
      <c r="G781" s="327" t="s">
        <v>1908</v>
      </c>
      <c r="H781" s="335" t="s">
        <v>1909</v>
      </c>
      <c r="I781" s="308" t="s">
        <v>1858</v>
      </c>
      <c r="J781" s="308" t="s">
        <v>1859</v>
      </c>
      <c r="K781" s="308">
        <v>801116</v>
      </c>
      <c r="L781" s="306" t="s">
        <v>1860</v>
      </c>
      <c r="M781" s="306" t="s">
        <v>59</v>
      </c>
      <c r="N781" s="306" t="s">
        <v>60</v>
      </c>
      <c r="O781" s="308" t="s">
        <v>1910</v>
      </c>
      <c r="P781" s="329" t="s">
        <v>2162</v>
      </c>
      <c r="Q781" s="315">
        <v>3399000</v>
      </c>
      <c r="R781" s="333">
        <v>1</v>
      </c>
      <c r="S781" s="312">
        <v>20394000</v>
      </c>
      <c r="T781" s="306" t="s">
        <v>900</v>
      </c>
      <c r="U781" s="306" t="s">
        <v>1906</v>
      </c>
      <c r="V781" s="313" t="s">
        <v>308</v>
      </c>
      <c r="W781" s="314">
        <v>6</v>
      </c>
      <c r="X781" s="329" t="s">
        <v>2355</v>
      </c>
      <c r="Y781" s="313">
        <v>43104</v>
      </c>
      <c r="Z781" s="315">
        <v>20394000</v>
      </c>
      <c r="AA781" s="316" t="s">
        <v>2356</v>
      </c>
      <c r="AB781" s="317">
        <v>438</v>
      </c>
      <c r="AC781" s="313">
        <v>43111</v>
      </c>
      <c r="AD781" s="312">
        <v>20394000</v>
      </c>
      <c r="AE781" s="318">
        <f t="shared" si="85"/>
        <v>0</v>
      </c>
      <c r="AF781" s="317">
        <v>322</v>
      </c>
      <c r="AG781" s="313">
        <v>43123</v>
      </c>
      <c r="AH781" s="312">
        <v>20394000</v>
      </c>
      <c r="AI781" s="306" t="s">
        <v>2357</v>
      </c>
      <c r="AJ781" s="306">
        <v>260</v>
      </c>
      <c r="AK781" s="318">
        <f t="shared" si="88"/>
        <v>0</v>
      </c>
      <c r="AL781" s="312">
        <f t="shared" si="90"/>
        <v>7704400</v>
      </c>
      <c r="AM781" s="312">
        <f t="shared" si="86"/>
        <v>12689600</v>
      </c>
      <c r="AN781" s="306" t="s">
        <v>1863</v>
      </c>
      <c r="AO781" s="312">
        <f t="shared" si="87"/>
        <v>0</v>
      </c>
      <c r="AP781" s="306"/>
      <c r="AQ781" s="306"/>
      <c r="AR781" s="306"/>
      <c r="AS781" s="306"/>
      <c r="AT781" s="306"/>
    </row>
    <row r="782" spans="1:46" ht="140.25" x14ac:dyDescent="0.25">
      <c r="A782" s="306">
        <v>187</v>
      </c>
      <c r="B782" s="306" t="str">
        <f t="shared" si="84"/>
        <v>3075-187</v>
      </c>
      <c r="C782" s="307" t="s">
        <v>1852</v>
      </c>
      <c r="D782" s="308" t="s">
        <v>1853</v>
      </c>
      <c r="E782" s="308" t="s">
        <v>2119</v>
      </c>
      <c r="F782" s="307" t="s">
        <v>1907</v>
      </c>
      <c r="G782" s="327" t="s">
        <v>1908</v>
      </c>
      <c r="H782" s="335" t="s">
        <v>1909</v>
      </c>
      <c r="I782" s="308" t="s">
        <v>1858</v>
      </c>
      <c r="J782" s="308" t="s">
        <v>1859</v>
      </c>
      <c r="K782" s="308">
        <v>801116</v>
      </c>
      <c r="L782" s="306" t="s">
        <v>1860</v>
      </c>
      <c r="M782" s="306" t="s">
        <v>59</v>
      </c>
      <c r="N782" s="306" t="s">
        <v>60</v>
      </c>
      <c r="O782" s="308" t="s">
        <v>1910</v>
      </c>
      <c r="P782" s="329" t="s">
        <v>2162</v>
      </c>
      <c r="Q782" s="315">
        <v>3399000</v>
      </c>
      <c r="R782" s="333">
        <v>1</v>
      </c>
      <c r="S782" s="312">
        <v>20394000</v>
      </c>
      <c r="T782" s="306" t="s">
        <v>900</v>
      </c>
      <c r="U782" s="306" t="s">
        <v>1906</v>
      </c>
      <c r="V782" s="313" t="s">
        <v>308</v>
      </c>
      <c r="W782" s="314">
        <v>6</v>
      </c>
      <c r="X782" s="329" t="s">
        <v>2358</v>
      </c>
      <c r="Y782" s="313">
        <v>43104</v>
      </c>
      <c r="Z782" s="315">
        <v>20394000</v>
      </c>
      <c r="AA782" s="316" t="s">
        <v>2356</v>
      </c>
      <c r="AB782" s="317">
        <v>440</v>
      </c>
      <c r="AC782" s="313">
        <v>43111</v>
      </c>
      <c r="AD782" s="312">
        <v>20394000</v>
      </c>
      <c r="AE782" s="318">
        <f t="shared" si="85"/>
        <v>0</v>
      </c>
      <c r="AF782" s="317">
        <v>242</v>
      </c>
      <c r="AG782" s="313">
        <v>43119</v>
      </c>
      <c r="AH782" s="312">
        <v>20394000</v>
      </c>
      <c r="AI782" s="306" t="s">
        <v>2359</v>
      </c>
      <c r="AJ782" s="306">
        <v>219</v>
      </c>
      <c r="AK782" s="318">
        <f t="shared" si="88"/>
        <v>0</v>
      </c>
      <c r="AL782" s="312">
        <f t="shared" si="90"/>
        <v>8157600</v>
      </c>
      <c r="AM782" s="312">
        <f t="shared" si="86"/>
        <v>12236400</v>
      </c>
      <c r="AN782" s="306" t="s">
        <v>1863</v>
      </c>
      <c r="AO782" s="312">
        <f t="shared" si="87"/>
        <v>0</v>
      </c>
      <c r="AP782" s="306"/>
      <c r="AQ782" s="306"/>
      <c r="AR782" s="306"/>
      <c r="AS782" s="306"/>
      <c r="AT782" s="306"/>
    </row>
    <row r="783" spans="1:46" ht="140.25" x14ac:dyDescent="0.25">
      <c r="A783" s="306">
        <v>188</v>
      </c>
      <c r="B783" s="306" t="str">
        <f t="shared" si="84"/>
        <v>3075-188</v>
      </c>
      <c r="C783" s="307" t="s">
        <v>1852</v>
      </c>
      <c r="D783" s="308" t="s">
        <v>1853</v>
      </c>
      <c r="E783" s="308" t="s">
        <v>2119</v>
      </c>
      <c r="F783" s="307" t="s">
        <v>1907</v>
      </c>
      <c r="G783" s="327" t="s">
        <v>1908</v>
      </c>
      <c r="H783" s="335" t="s">
        <v>1909</v>
      </c>
      <c r="I783" s="308" t="s">
        <v>1858</v>
      </c>
      <c r="J783" s="308" t="s">
        <v>1859</v>
      </c>
      <c r="K783" s="308">
        <v>801116</v>
      </c>
      <c r="L783" s="306" t="s">
        <v>1860</v>
      </c>
      <c r="M783" s="306" t="s">
        <v>59</v>
      </c>
      <c r="N783" s="306" t="s">
        <v>60</v>
      </c>
      <c r="O783" s="308" t="s">
        <v>1910</v>
      </c>
      <c r="P783" s="329" t="s">
        <v>2171</v>
      </c>
      <c r="Q783" s="315">
        <v>3553500</v>
      </c>
      <c r="R783" s="333">
        <v>1</v>
      </c>
      <c r="S783" s="312">
        <v>21321000</v>
      </c>
      <c r="T783" s="306" t="s">
        <v>900</v>
      </c>
      <c r="U783" s="306" t="s">
        <v>1906</v>
      </c>
      <c r="V783" s="313" t="s">
        <v>308</v>
      </c>
      <c r="W783" s="314">
        <v>6</v>
      </c>
      <c r="X783" s="329" t="s">
        <v>2360</v>
      </c>
      <c r="Y783" s="313">
        <v>43104</v>
      </c>
      <c r="Z783" s="315">
        <v>21321000</v>
      </c>
      <c r="AA783" s="316" t="s">
        <v>2361</v>
      </c>
      <c r="AB783" s="317">
        <v>461</v>
      </c>
      <c r="AC783" s="313">
        <v>43111</v>
      </c>
      <c r="AD783" s="312">
        <v>21321000</v>
      </c>
      <c r="AE783" s="318">
        <f t="shared" si="85"/>
        <v>0</v>
      </c>
      <c r="AF783" s="317">
        <v>405</v>
      </c>
      <c r="AG783" s="313">
        <v>43124</v>
      </c>
      <c r="AH783" s="312">
        <v>21321000</v>
      </c>
      <c r="AI783" s="306" t="s">
        <v>2362</v>
      </c>
      <c r="AJ783" s="306">
        <v>333</v>
      </c>
      <c r="AK783" s="318">
        <f t="shared" si="88"/>
        <v>0</v>
      </c>
      <c r="AL783" s="312">
        <f t="shared" si="90"/>
        <v>7817700</v>
      </c>
      <c r="AM783" s="312">
        <f t="shared" si="86"/>
        <v>13503300</v>
      </c>
      <c r="AN783" s="306" t="s">
        <v>1863</v>
      </c>
      <c r="AO783" s="312">
        <f t="shared" si="87"/>
        <v>0</v>
      </c>
      <c r="AP783" s="306"/>
      <c r="AQ783" s="306"/>
      <c r="AR783" s="306"/>
      <c r="AS783" s="306"/>
      <c r="AT783" s="306"/>
    </row>
    <row r="784" spans="1:46" ht="140.25" x14ac:dyDescent="0.25">
      <c r="A784" s="306">
        <v>189</v>
      </c>
      <c r="B784" s="306" t="str">
        <f t="shared" si="84"/>
        <v>3075-189</v>
      </c>
      <c r="C784" s="307" t="s">
        <v>1852</v>
      </c>
      <c r="D784" s="308" t="s">
        <v>1853</v>
      </c>
      <c r="E784" s="308" t="s">
        <v>2119</v>
      </c>
      <c r="F784" s="307" t="s">
        <v>1907</v>
      </c>
      <c r="G784" s="327" t="s">
        <v>1908</v>
      </c>
      <c r="H784" s="335" t="s">
        <v>1909</v>
      </c>
      <c r="I784" s="308" t="s">
        <v>1858</v>
      </c>
      <c r="J784" s="308" t="s">
        <v>1859</v>
      </c>
      <c r="K784" s="308">
        <v>801116</v>
      </c>
      <c r="L784" s="306" t="s">
        <v>1860</v>
      </c>
      <c r="M784" s="306" t="s">
        <v>59</v>
      </c>
      <c r="N784" s="306" t="s">
        <v>60</v>
      </c>
      <c r="O784" s="308" t="s">
        <v>1910</v>
      </c>
      <c r="P784" s="329" t="s">
        <v>2363</v>
      </c>
      <c r="Q784" s="315">
        <v>3553500</v>
      </c>
      <c r="R784" s="333">
        <v>1</v>
      </c>
      <c r="S784" s="312">
        <v>21321000</v>
      </c>
      <c r="T784" s="306" t="s">
        <v>900</v>
      </c>
      <c r="U784" s="306" t="s">
        <v>1906</v>
      </c>
      <c r="V784" s="313" t="s">
        <v>308</v>
      </c>
      <c r="W784" s="314">
        <v>6</v>
      </c>
      <c r="X784" s="329" t="s">
        <v>2364</v>
      </c>
      <c r="Y784" s="313">
        <v>43104</v>
      </c>
      <c r="Z784" s="315">
        <v>21321000</v>
      </c>
      <c r="AA784" s="316" t="s">
        <v>2361</v>
      </c>
      <c r="AB784" s="317">
        <v>462</v>
      </c>
      <c r="AC784" s="313">
        <v>43112</v>
      </c>
      <c r="AD784" s="312">
        <v>21321000</v>
      </c>
      <c r="AE784" s="318">
        <f t="shared" si="85"/>
        <v>0</v>
      </c>
      <c r="AF784" s="317">
        <v>505</v>
      </c>
      <c r="AG784" s="313">
        <v>43126</v>
      </c>
      <c r="AH784" s="312">
        <v>21321000</v>
      </c>
      <c r="AI784" s="306" t="s">
        <v>2365</v>
      </c>
      <c r="AJ784" s="306">
        <v>415</v>
      </c>
      <c r="AK784" s="318">
        <f t="shared" si="88"/>
        <v>0</v>
      </c>
      <c r="AL784" s="312">
        <f t="shared" si="90"/>
        <v>7343900</v>
      </c>
      <c r="AM784" s="312">
        <f t="shared" si="86"/>
        <v>13977100</v>
      </c>
      <c r="AN784" s="306" t="s">
        <v>1863</v>
      </c>
      <c r="AO784" s="312">
        <f t="shared" si="87"/>
        <v>0</v>
      </c>
      <c r="AP784" s="306"/>
      <c r="AQ784" s="306"/>
      <c r="AR784" s="306"/>
      <c r="AS784" s="306"/>
      <c r="AT784" s="306"/>
    </row>
    <row r="785" spans="1:46" ht="140.25" x14ac:dyDescent="0.25">
      <c r="A785" s="306">
        <v>190</v>
      </c>
      <c r="B785" s="306" t="str">
        <f t="shared" si="84"/>
        <v>3075-190</v>
      </c>
      <c r="C785" s="307" t="s">
        <v>1852</v>
      </c>
      <c r="D785" s="308" t="s">
        <v>1853</v>
      </c>
      <c r="E785" s="308" t="s">
        <v>2119</v>
      </c>
      <c r="F785" s="307" t="s">
        <v>1907</v>
      </c>
      <c r="G785" s="327" t="s">
        <v>1908</v>
      </c>
      <c r="H785" s="335" t="s">
        <v>1909</v>
      </c>
      <c r="I785" s="308" t="s">
        <v>1858</v>
      </c>
      <c r="J785" s="308" t="s">
        <v>1859</v>
      </c>
      <c r="K785" s="308">
        <v>801116</v>
      </c>
      <c r="L785" s="306" t="s">
        <v>1860</v>
      </c>
      <c r="M785" s="306" t="s">
        <v>59</v>
      </c>
      <c r="N785" s="306" t="s">
        <v>60</v>
      </c>
      <c r="O785" s="308" t="s">
        <v>1910</v>
      </c>
      <c r="P785" s="329" t="s">
        <v>2174</v>
      </c>
      <c r="Q785" s="315">
        <v>5253000</v>
      </c>
      <c r="R785" s="333">
        <v>1</v>
      </c>
      <c r="S785" s="312">
        <v>31518000</v>
      </c>
      <c r="T785" s="306" t="s">
        <v>900</v>
      </c>
      <c r="U785" s="306" t="s">
        <v>1906</v>
      </c>
      <c r="V785" s="313" t="s">
        <v>308</v>
      </c>
      <c r="W785" s="314">
        <v>6</v>
      </c>
      <c r="X785" s="329" t="s">
        <v>2366</v>
      </c>
      <c r="Y785" s="313">
        <v>43104</v>
      </c>
      <c r="Z785" s="315">
        <v>31518000</v>
      </c>
      <c r="AA785" s="316" t="s">
        <v>2351</v>
      </c>
      <c r="AB785" s="317">
        <v>491</v>
      </c>
      <c r="AC785" s="313">
        <v>43116</v>
      </c>
      <c r="AD785" s="312">
        <v>31518000</v>
      </c>
      <c r="AE785" s="318">
        <f t="shared" si="85"/>
        <v>0</v>
      </c>
      <c r="AF785" s="317">
        <v>265</v>
      </c>
      <c r="AG785" s="313">
        <v>43119</v>
      </c>
      <c r="AH785" s="312">
        <v>31518000</v>
      </c>
      <c r="AI785" s="306" t="s">
        <v>2367</v>
      </c>
      <c r="AJ785" s="306">
        <v>235</v>
      </c>
      <c r="AK785" s="318">
        <f t="shared" si="88"/>
        <v>0</v>
      </c>
      <c r="AL785" s="312">
        <f t="shared" si="90"/>
        <v>12081900</v>
      </c>
      <c r="AM785" s="312">
        <f t="shared" si="86"/>
        <v>19436100</v>
      </c>
      <c r="AN785" s="306" t="s">
        <v>1863</v>
      </c>
      <c r="AO785" s="312">
        <f t="shared" si="87"/>
        <v>0</v>
      </c>
      <c r="AP785" s="306"/>
      <c r="AQ785" s="306"/>
      <c r="AR785" s="306"/>
      <c r="AS785" s="306"/>
      <c r="AT785" s="306"/>
    </row>
    <row r="786" spans="1:46" ht="140.25" x14ac:dyDescent="0.25">
      <c r="A786" s="306">
        <v>191</v>
      </c>
      <c r="B786" s="306" t="str">
        <f t="shared" si="84"/>
        <v>3075-191</v>
      </c>
      <c r="C786" s="307" t="s">
        <v>1852</v>
      </c>
      <c r="D786" s="308" t="s">
        <v>1853</v>
      </c>
      <c r="E786" s="308" t="s">
        <v>2119</v>
      </c>
      <c r="F786" s="307" t="s">
        <v>1907</v>
      </c>
      <c r="G786" s="327" t="s">
        <v>1908</v>
      </c>
      <c r="H786" s="335" t="s">
        <v>1909</v>
      </c>
      <c r="I786" s="308" t="s">
        <v>1858</v>
      </c>
      <c r="J786" s="308" t="s">
        <v>1859</v>
      </c>
      <c r="K786" s="308">
        <v>801116</v>
      </c>
      <c r="L786" s="306" t="s">
        <v>1860</v>
      </c>
      <c r="M786" s="306" t="s">
        <v>59</v>
      </c>
      <c r="N786" s="306" t="s">
        <v>60</v>
      </c>
      <c r="O786" s="308" t="s">
        <v>1910</v>
      </c>
      <c r="P786" s="329" t="s">
        <v>2171</v>
      </c>
      <c r="Q786" s="315">
        <v>3553500</v>
      </c>
      <c r="R786" s="333">
        <v>1</v>
      </c>
      <c r="S786" s="312">
        <v>21321000</v>
      </c>
      <c r="T786" s="306" t="s">
        <v>900</v>
      </c>
      <c r="U786" s="306" t="s">
        <v>1906</v>
      </c>
      <c r="V786" s="313" t="s">
        <v>308</v>
      </c>
      <c r="W786" s="314">
        <v>6</v>
      </c>
      <c r="X786" s="329" t="s">
        <v>2368</v>
      </c>
      <c r="Y786" s="313">
        <v>43104</v>
      </c>
      <c r="Z786" s="315">
        <v>21321000</v>
      </c>
      <c r="AA786" s="316" t="s">
        <v>2361</v>
      </c>
      <c r="AB786" s="317">
        <v>414</v>
      </c>
      <c r="AC786" s="313">
        <v>43111</v>
      </c>
      <c r="AD786" s="312">
        <v>21321000</v>
      </c>
      <c r="AE786" s="318">
        <f t="shared" si="85"/>
        <v>0</v>
      </c>
      <c r="AF786" s="317">
        <v>340</v>
      </c>
      <c r="AG786" s="313">
        <v>43123</v>
      </c>
      <c r="AH786" s="312">
        <v>21321000</v>
      </c>
      <c r="AI786" s="306" t="s">
        <v>2369</v>
      </c>
      <c r="AJ786" s="306">
        <v>345</v>
      </c>
      <c r="AK786" s="318">
        <f t="shared" si="88"/>
        <v>0</v>
      </c>
      <c r="AL786" s="312">
        <f t="shared" si="90"/>
        <v>7580800</v>
      </c>
      <c r="AM786" s="312">
        <f t="shared" si="86"/>
        <v>13740200</v>
      </c>
      <c r="AN786" s="306" t="s">
        <v>1863</v>
      </c>
      <c r="AO786" s="312">
        <f t="shared" si="87"/>
        <v>0</v>
      </c>
      <c r="AP786" s="306"/>
      <c r="AQ786" s="306"/>
      <c r="AR786" s="306"/>
      <c r="AS786" s="306"/>
      <c r="AT786" s="306"/>
    </row>
    <row r="787" spans="1:46" ht="127.5" x14ac:dyDescent="0.25">
      <c r="A787" s="306">
        <v>192</v>
      </c>
      <c r="B787" s="306" t="str">
        <f t="shared" si="84"/>
        <v>3075-192</v>
      </c>
      <c r="C787" s="307" t="s">
        <v>1852</v>
      </c>
      <c r="D787" s="308" t="s">
        <v>1853</v>
      </c>
      <c r="E787" s="308" t="s">
        <v>2119</v>
      </c>
      <c r="F787" s="307" t="s">
        <v>1907</v>
      </c>
      <c r="G787" s="327" t="s">
        <v>1908</v>
      </c>
      <c r="H787" s="335" t="s">
        <v>1909</v>
      </c>
      <c r="I787" s="308" t="s">
        <v>1858</v>
      </c>
      <c r="J787" s="308" t="s">
        <v>1859</v>
      </c>
      <c r="K787" s="308">
        <v>801116</v>
      </c>
      <c r="L787" s="306" t="s">
        <v>1860</v>
      </c>
      <c r="M787" s="306" t="s">
        <v>59</v>
      </c>
      <c r="N787" s="306" t="s">
        <v>60</v>
      </c>
      <c r="O787" s="308" t="s">
        <v>1910</v>
      </c>
      <c r="P787" s="329" t="s">
        <v>2333</v>
      </c>
      <c r="Q787" s="315">
        <v>3553500</v>
      </c>
      <c r="R787" s="333">
        <v>1</v>
      </c>
      <c r="S787" s="312">
        <v>21321000</v>
      </c>
      <c r="T787" s="306" t="s">
        <v>900</v>
      </c>
      <c r="U787" s="306" t="s">
        <v>1906</v>
      </c>
      <c r="V787" s="313" t="s">
        <v>308</v>
      </c>
      <c r="W787" s="314">
        <v>6</v>
      </c>
      <c r="X787" s="329" t="s">
        <v>2370</v>
      </c>
      <c r="Y787" s="313">
        <v>43104</v>
      </c>
      <c r="Z787" s="315">
        <v>21321000</v>
      </c>
      <c r="AA787" s="316" t="s">
        <v>2371</v>
      </c>
      <c r="AB787" s="317">
        <v>415</v>
      </c>
      <c r="AC787" s="313">
        <v>43111</v>
      </c>
      <c r="AD787" s="312">
        <v>21321000</v>
      </c>
      <c r="AE787" s="318">
        <f t="shared" si="85"/>
        <v>0</v>
      </c>
      <c r="AF787" s="317">
        <v>337</v>
      </c>
      <c r="AG787" s="313">
        <v>43123</v>
      </c>
      <c r="AH787" s="312">
        <v>21321000</v>
      </c>
      <c r="AI787" s="306" t="s">
        <v>2372</v>
      </c>
      <c r="AJ787" s="306">
        <v>342</v>
      </c>
      <c r="AK787" s="318">
        <f t="shared" si="88"/>
        <v>0</v>
      </c>
      <c r="AL787" s="312">
        <f t="shared" si="90"/>
        <v>7817700</v>
      </c>
      <c r="AM787" s="312">
        <f t="shared" si="86"/>
        <v>13503300</v>
      </c>
      <c r="AN787" s="306" t="s">
        <v>1863</v>
      </c>
      <c r="AO787" s="312">
        <f t="shared" si="87"/>
        <v>0</v>
      </c>
      <c r="AP787" s="306"/>
      <c r="AQ787" s="306"/>
      <c r="AR787" s="306"/>
      <c r="AS787" s="306"/>
      <c r="AT787" s="306"/>
    </row>
    <row r="788" spans="1:46" ht="140.25" x14ac:dyDescent="0.25">
      <c r="A788" s="306">
        <v>193</v>
      </c>
      <c r="B788" s="306" t="str">
        <f t="shared" ref="B788:B851" si="91">CONCATENATE("3075","-",A788)</f>
        <v>3075-193</v>
      </c>
      <c r="C788" s="307" t="s">
        <v>1852</v>
      </c>
      <c r="D788" s="308" t="s">
        <v>1853</v>
      </c>
      <c r="E788" s="308" t="s">
        <v>2119</v>
      </c>
      <c r="F788" s="307" t="s">
        <v>1907</v>
      </c>
      <c r="G788" s="327" t="s">
        <v>1908</v>
      </c>
      <c r="H788" s="335" t="s">
        <v>1909</v>
      </c>
      <c r="I788" s="308" t="s">
        <v>1858</v>
      </c>
      <c r="J788" s="308" t="s">
        <v>1859</v>
      </c>
      <c r="K788" s="308">
        <v>801116</v>
      </c>
      <c r="L788" s="306" t="s">
        <v>1860</v>
      </c>
      <c r="M788" s="306" t="s">
        <v>59</v>
      </c>
      <c r="N788" s="306" t="s">
        <v>60</v>
      </c>
      <c r="O788" s="308" t="s">
        <v>1910</v>
      </c>
      <c r="P788" s="329" t="s">
        <v>2124</v>
      </c>
      <c r="Q788" s="315">
        <v>5253000</v>
      </c>
      <c r="R788" s="333">
        <v>1</v>
      </c>
      <c r="S788" s="312">
        <v>31518000</v>
      </c>
      <c r="T788" s="306" t="s">
        <v>900</v>
      </c>
      <c r="U788" s="306" t="s">
        <v>1906</v>
      </c>
      <c r="V788" s="313" t="s">
        <v>308</v>
      </c>
      <c r="W788" s="314">
        <v>6</v>
      </c>
      <c r="X788" s="329" t="s">
        <v>2373</v>
      </c>
      <c r="Y788" s="313">
        <v>43104</v>
      </c>
      <c r="Z788" s="315">
        <v>31518000</v>
      </c>
      <c r="AA788" s="316" t="s">
        <v>2374</v>
      </c>
      <c r="AB788" s="317">
        <v>416</v>
      </c>
      <c r="AC788" s="313">
        <v>43111</v>
      </c>
      <c r="AD788" s="312">
        <v>31518000</v>
      </c>
      <c r="AE788" s="318">
        <f t="shared" ref="AE788:AE851" si="92">S788-Z788</f>
        <v>0</v>
      </c>
      <c r="AF788" s="317">
        <v>408</v>
      </c>
      <c r="AG788" s="313">
        <v>43124</v>
      </c>
      <c r="AH788" s="312">
        <v>31518000</v>
      </c>
      <c r="AI788" s="306" t="s">
        <v>2375</v>
      </c>
      <c r="AJ788" s="306">
        <v>357</v>
      </c>
      <c r="AK788" s="318">
        <f t="shared" si="88"/>
        <v>0</v>
      </c>
      <c r="AL788" s="312">
        <f t="shared" si="90"/>
        <v>11556600</v>
      </c>
      <c r="AM788" s="312">
        <f t="shared" ref="AM788:AM851" si="93">AH788-AL788</f>
        <v>19961400</v>
      </c>
      <c r="AN788" s="306" t="s">
        <v>1863</v>
      </c>
      <c r="AO788" s="312">
        <f t="shared" ref="AO788:AO851" si="94">S788-AH788</f>
        <v>0</v>
      </c>
      <c r="AP788" s="306"/>
      <c r="AQ788" s="306"/>
      <c r="AR788" s="306"/>
      <c r="AS788" s="306"/>
      <c r="AT788" s="306"/>
    </row>
    <row r="789" spans="1:46" ht="140.25" x14ac:dyDescent="0.25">
      <c r="A789" s="306">
        <v>194</v>
      </c>
      <c r="B789" s="306" t="str">
        <f t="shared" si="91"/>
        <v>3075-194</v>
      </c>
      <c r="C789" s="307" t="s">
        <v>1852</v>
      </c>
      <c r="D789" s="308" t="s">
        <v>1853</v>
      </c>
      <c r="E789" s="308" t="s">
        <v>2119</v>
      </c>
      <c r="F789" s="307" t="s">
        <v>1907</v>
      </c>
      <c r="G789" s="327" t="s">
        <v>1908</v>
      </c>
      <c r="H789" s="335" t="s">
        <v>1909</v>
      </c>
      <c r="I789" s="308" t="s">
        <v>1858</v>
      </c>
      <c r="J789" s="308" t="s">
        <v>1859</v>
      </c>
      <c r="K789" s="308">
        <v>801116</v>
      </c>
      <c r="L789" s="306" t="s">
        <v>1860</v>
      </c>
      <c r="M789" s="306" t="s">
        <v>59</v>
      </c>
      <c r="N789" s="306" t="s">
        <v>60</v>
      </c>
      <c r="O789" s="308" t="s">
        <v>1910</v>
      </c>
      <c r="P789" s="329" t="s">
        <v>2174</v>
      </c>
      <c r="Q789" s="315">
        <v>5253000</v>
      </c>
      <c r="R789" s="333">
        <v>1</v>
      </c>
      <c r="S789" s="312">
        <v>31518000</v>
      </c>
      <c r="T789" s="306" t="s">
        <v>900</v>
      </c>
      <c r="U789" s="306" t="s">
        <v>1906</v>
      </c>
      <c r="V789" s="313" t="s">
        <v>308</v>
      </c>
      <c r="W789" s="314">
        <v>6.444444444444442</v>
      </c>
      <c r="X789" s="329" t="s">
        <v>2376</v>
      </c>
      <c r="Y789" s="313">
        <v>43104</v>
      </c>
      <c r="Z789" s="315">
        <v>31518000</v>
      </c>
      <c r="AA789" s="316" t="s">
        <v>2351</v>
      </c>
      <c r="AB789" s="317">
        <v>418</v>
      </c>
      <c r="AC789" s="313">
        <v>43111</v>
      </c>
      <c r="AD789" s="312">
        <v>31518000</v>
      </c>
      <c r="AE789" s="318">
        <f t="shared" si="92"/>
        <v>0</v>
      </c>
      <c r="AF789" s="317">
        <v>501</v>
      </c>
      <c r="AG789" s="313">
        <v>43126</v>
      </c>
      <c r="AH789" s="312">
        <v>31518000</v>
      </c>
      <c r="AI789" s="306" t="s">
        <v>2377</v>
      </c>
      <c r="AJ789" s="306">
        <v>411</v>
      </c>
      <c r="AK789" s="318">
        <f t="shared" ref="AK789:AK852" si="95">AD789-AH789</f>
        <v>0</v>
      </c>
      <c r="AL789" s="312">
        <f t="shared" si="90"/>
        <v>10856200</v>
      </c>
      <c r="AM789" s="312">
        <f t="shared" si="93"/>
        <v>20661800</v>
      </c>
      <c r="AN789" s="306" t="s">
        <v>1863</v>
      </c>
      <c r="AO789" s="312">
        <f t="shared" si="94"/>
        <v>0</v>
      </c>
      <c r="AP789" s="306"/>
      <c r="AQ789" s="306"/>
      <c r="AR789" s="306"/>
      <c r="AS789" s="306"/>
      <c r="AT789" s="306"/>
    </row>
    <row r="790" spans="1:46" ht="140.25" x14ac:dyDescent="0.25">
      <c r="A790" s="306">
        <v>195</v>
      </c>
      <c r="B790" s="306" t="str">
        <f t="shared" si="91"/>
        <v>3075-195</v>
      </c>
      <c r="C790" s="307" t="s">
        <v>1852</v>
      </c>
      <c r="D790" s="308" t="s">
        <v>1853</v>
      </c>
      <c r="E790" s="308" t="s">
        <v>2119</v>
      </c>
      <c r="F790" s="307" t="s">
        <v>1907</v>
      </c>
      <c r="G790" s="327" t="s">
        <v>1908</v>
      </c>
      <c r="H790" s="335" t="s">
        <v>1909</v>
      </c>
      <c r="I790" s="308" t="s">
        <v>1858</v>
      </c>
      <c r="J790" s="308" t="s">
        <v>1859</v>
      </c>
      <c r="K790" s="308">
        <v>801116</v>
      </c>
      <c r="L790" s="306" t="s">
        <v>1860</v>
      </c>
      <c r="M790" s="306" t="s">
        <v>59</v>
      </c>
      <c r="N790" s="306" t="s">
        <v>60</v>
      </c>
      <c r="O790" s="308" t="s">
        <v>1910</v>
      </c>
      <c r="P790" s="329" t="s">
        <v>2152</v>
      </c>
      <c r="Q790" s="315">
        <v>1751000</v>
      </c>
      <c r="R790" s="333">
        <v>1</v>
      </c>
      <c r="S790" s="312">
        <v>10506000</v>
      </c>
      <c r="T790" s="306" t="s">
        <v>934</v>
      </c>
      <c r="U790" s="306" t="s">
        <v>1906</v>
      </c>
      <c r="V790" s="313" t="s">
        <v>308</v>
      </c>
      <c r="W790" s="314">
        <v>6</v>
      </c>
      <c r="X790" s="329" t="s">
        <v>2378</v>
      </c>
      <c r="Y790" s="313">
        <v>43104</v>
      </c>
      <c r="Z790" s="315">
        <v>10506000</v>
      </c>
      <c r="AA790" s="316" t="s">
        <v>2339</v>
      </c>
      <c r="AB790" s="317">
        <v>419</v>
      </c>
      <c r="AC790" s="313">
        <v>43111</v>
      </c>
      <c r="AD790" s="312">
        <v>10506000</v>
      </c>
      <c r="AE790" s="318">
        <f t="shared" si="92"/>
        <v>0</v>
      </c>
      <c r="AF790" s="317">
        <v>407</v>
      </c>
      <c r="AG790" s="313">
        <v>43124</v>
      </c>
      <c r="AH790" s="312">
        <v>10506000</v>
      </c>
      <c r="AI790" s="306" t="s">
        <v>2379</v>
      </c>
      <c r="AJ790" s="306">
        <v>356</v>
      </c>
      <c r="AK790" s="318">
        <f t="shared" si="95"/>
        <v>0</v>
      </c>
      <c r="AL790" s="312">
        <f t="shared" si="90"/>
        <v>3852200</v>
      </c>
      <c r="AM790" s="312">
        <f t="shared" si="93"/>
        <v>6653800</v>
      </c>
      <c r="AN790" s="306" t="s">
        <v>1863</v>
      </c>
      <c r="AO790" s="312">
        <f t="shared" si="94"/>
        <v>0</v>
      </c>
      <c r="AP790" s="306"/>
      <c r="AQ790" s="306"/>
      <c r="AR790" s="306"/>
      <c r="AS790" s="306"/>
      <c r="AT790" s="306"/>
    </row>
    <row r="791" spans="1:46" ht="140.25" x14ac:dyDescent="0.25">
      <c r="A791" s="306">
        <v>196</v>
      </c>
      <c r="B791" s="306" t="str">
        <f t="shared" si="91"/>
        <v>3075-196</v>
      </c>
      <c r="C791" s="307" t="s">
        <v>1852</v>
      </c>
      <c r="D791" s="308" t="s">
        <v>1853</v>
      </c>
      <c r="E791" s="308" t="s">
        <v>2119</v>
      </c>
      <c r="F791" s="307" t="s">
        <v>1907</v>
      </c>
      <c r="G791" s="327" t="s">
        <v>1908</v>
      </c>
      <c r="H791" s="335" t="s">
        <v>1909</v>
      </c>
      <c r="I791" s="308" t="s">
        <v>1858</v>
      </c>
      <c r="J791" s="308" t="s">
        <v>1859</v>
      </c>
      <c r="K791" s="308">
        <v>801116</v>
      </c>
      <c r="L791" s="306" t="s">
        <v>1860</v>
      </c>
      <c r="M791" s="306" t="s">
        <v>59</v>
      </c>
      <c r="N791" s="306" t="s">
        <v>60</v>
      </c>
      <c r="O791" s="308" t="s">
        <v>1910</v>
      </c>
      <c r="P791" s="329" t="s">
        <v>2174</v>
      </c>
      <c r="Q791" s="315">
        <v>4120000</v>
      </c>
      <c r="R791" s="333">
        <v>1</v>
      </c>
      <c r="S791" s="312">
        <v>24720000</v>
      </c>
      <c r="T791" s="306" t="s">
        <v>900</v>
      </c>
      <c r="U791" s="306" t="s">
        <v>1906</v>
      </c>
      <c r="V791" s="313" t="s">
        <v>308</v>
      </c>
      <c r="W791" s="314">
        <v>6</v>
      </c>
      <c r="X791" s="329" t="s">
        <v>2380</v>
      </c>
      <c r="Y791" s="313">
        <v>43104</v>
      </c>
      <c r="Z791" s="315">
        <v>24720000</v>
      </c>
      <c r="AA791" s="316" t="s">
        <v>2381</v>
      </c>
      <c r="AB791" s="317">
        <v>420</v>
      </c>
      <c r="AC791" s="313">
        <v>43111</v>
      </c>
      <c r="AD791" s="312">
        <v>24720000</v>
      </c>
      <c r="AE791" s="318">
        <f t="shared" si="92"/>
        <v>0</v>
      </c>
      <c r="AF791" s="317">
        <v>320</v>
      </c>
      <c r="AG791" s="313">
        <v>43123</v>
      </c>
      <c r="AH791" s="312">
        <v>24720000</v>
      </c>
      <c r="AI791" s="306" t="s">
        <v>2382</v>
      </c>
      <c r="AJ791" s="306">
        <v>272</v>
      </c>
      <c r="AK791" s="318">
        <f t="shared" si="95"/>
        <v>0</v>
      </c>
      <c r="AL791" s="312">
        <f t="shared" si="90"/>
        <v>9338667</v>
      </c>
      <c r="AM791" s="312">
        <f t="shared" si="93"/>
        <v>15381333</v>
      </c>
      <c r="AN791" s="306" t="s">
        <v>1863</v>
      </c>
      <c r="AO791" s="312">
        <f t="shared" si="94"/>
        <v>0</v>
      </c>
      <c r="AP791" s="306"/>
      <c r="AQ791" s="306"/>
      <c r="AR791" s="306"/>
      <c r="AS791" s="306"/>
      <c r="AT791" s="306"/>
    </row>
    <row r="792" spans="1:46" ht="140.25" x14ac:dyDescent="0.25">
      <c r="A792" s="306">
        <v>197</v>
      </c>
      <c r="B792" s="306" t="str">
        <f t="shared" si="91"/>
        <v>3075-197</v>
      </c>
      <c r="C792" s="307" t="s">
        <v>1852</v>
      </c>
      <c r="D792" s="308" t="s">
        <v>1853</v>
      </c>
      <c r="E792" s="308" t="s">
        <v>2119</v>
      </c>
      <c r="F792" s="307" t="s">
        <v>1907</v>
      </c>
      <c r="G792" s="327" t="s">
        <v>1908</v>
      </c>
      <c r="H792" s="335" t="s">
        <v>1909</v>
      </c>
      <c r="I792" s="308" t="s">
        <v>1858</v>
      </c>
      <c r="J792" s="308" t="s">
        <v>1859</v>
      </c>
      <c r="K792" s="308">
        <v>801116</v>
      </c>
      <c r="L792" s="306" t="s">
        <v>1860</v>
      </c>
      <c r="M792" s="306" t="s">
        <v>59</v>
      </c>
      <c r="N792" s="306" t="s">
        <v>60</v>
      </c>
      <c r="O792" s="308" t="s">
        <v>1910</v>
      </c>
      <c r="P792" s="329" t="s">
        <v>2171</v>
      </c>
      <c r="Q792" s="315">
        <v>5036700</v>
      </c>
      <c r="R792" s="333">
        <v>1</v>
      </c>
      <c r="S792" s="312">
        <v>30220200</v>
      </c>
      <c r="T792" s="306" t="s">
        <v>900</v>
      </c>
      <c r="U792" s="306" t="s">
        <v>1906</v>
      </c>
      <c r="V792" s="313" t="s">
        <v>308</v>
      </c>
      <c r="W792" s="314">
        <v>6</v>
      </c>
      <c r="X792" s="329" t="s">
        <v>2383</v>
      </c>
      <c r="Y792" s="313">
        <v>43104</v>
      </c>
      <c r="Z792" s="315">
        <v>30220200</v>
      </c>
      <c r="AA792" s="316" t="s">
        <v>2384</v>
      </c>
      <c r="AB792" s="317">
        <v>421</v>
      </c>
      <c r="AC792" s="313">
        <v>43111</v>
      </c>
      <c r="AD792" s="312">
        <v>30220200</v>
      </c>
      <c r="AE792" s="318">
        <f t="shared" si="92"/>
        <v>0</v>
      </c>
      <c r="AF792" s="317">
        <v>269</v>
      </c>
      <c r="AG792" s="313">
        <v>43119</v>
      </c>
      <c r="AH792" s="312">
        <v>30220200</v>
      </c>
      <c r="AI792" s="306" t="s">
        <v>2385</v>
      </c>
      <c r="AJ792" s="306">
        <v>239</v>
      </c>
      <c r="AK792" s="318">
        <f t="shared" si="95"/>
        <v>0</v>
      </c>
      <c r="AL792" s="312">
        <f t="shared" si="90"/>
        <v>11584410</v>
      </c>
      <c r="AM792" s="312">
        <f t="shared" si="93"/>
        <v>18635790</v>
      </c>
      <c r="AN792" s="306" t="s">
        <v>1863</v>
      </c>
      <c r="AO792" s="312">
        <f t="shared" si="94"/>
        <v>0</v>
      </c>
      <c r="AP792" s="306"/>
      <c r="AQ792" s="306"/>
      <c r="AR792" s="306"/>
      <c r="AS792" s="306"/>
      <c r="AT792" s="306"/>
    </row>
    <row r="793" spans="1:46" ht="140.25" x14ac:dyDescent="0.25">
      <c r="A793" s="306">
        <v>198</v>
      </c>
      <c r="B793" s="306" t="str">
        <f t="shared" si="91"/>
        <v>3075-198</v>
      </c>
      <c r="C793" s="307" t="s">
        <v>1852</v>
      </c>
      <c r="D793" s="308" t="s">
        <v>1853</v>
      </c>
      <c r="E793" s="308" t="s">
        <v>2119</v>
      </c>
      <c r="F793" s="307" t="s">
        <v>1907</v>
      </c>
      <c r="G793" s="327" t="s">
        <v>1908</v>
      </c>
      <c r="H793" s="335" t="s">
        <v>1909</v>
      </c>
      <c r="I793" s="308" t="s">
        <v>1858</v>
      </c>
      <c r="J793" s="308" t="s">
        <v>1859</v>
      </c>
      <c r="K793" s="308">
        <v>801116</v>
      </c>
      <c r="L793" s="306" t="s">
        <v>1860</v>
      </c>
      <c r="M793" s="306" t="s">
        <v>59</v>
      </c>
      <c r="N793" s="306" t="s">
        <v>60</v>
      </c>
      <c r="O793" s="308" t="s">
        <v>1910</v>
      </c>
      <c r="P793" s="329" t="s">
        <v>2171</v>
      </c>
      <c r="Q793" s="315">
        <v>4120000</v>
      </c>
      <c r="R793" s="333">
        <v>1</v>
      </c>
      <c r="S793" s="312">
        <v>24720000</v>
      </c>
      <c r="T793" s="306" t="s">
        <v>900</v>
      </c>
      <c r="U793" s="306" t="s">
        <v>1906</v>
      </c>
      <c r="V793" s="313" t="s">
        <v>308</v>
      </c>
      <c r="W793" s="314">
        <v>6</v>
      </c>
      <c r="X793" s="329" t="s">
        <v>2386</v>
      </c>
      <c r="Y793" s="313">
        <v>43104</v>
      </c>
      <c r="Z793" s="315">
        <v>24720000</v>
      </c>
      <c r="AA793" s="316" t="s">
        <v>2328</v>
      </c>
      <c r="AB793" s="317">
        <v>422</v>
      </c>
      <c r="AC793" s="313">
        <v>43111</v>
      </c>
      <c r="AD793" s="312">
        <v>24720000</v>
      </c>
      <c r="AE793" s="318">
        <f t="shared" si="92"/>
        <v>0</v>
      </c>
      <c r="AF793" s="317">
        <v>381</v>
      </c>
      <c r="AG793" s="313">
        <v>43124</v>
      </c>
      <c r="AH793" s="312">
        <v>24720000</v>
      </c>
      <c r="AI793" s="306" t="s">
        <v>2387</v>
      </c>
      <c r="AJ793" s="306">
        <v>359</v>
      </c>
      <c r="AK793" s="318">
        <f t="shared" si="95"/>
        <v>0</v>
      </c>
      <c r="AL793" s="312">
        <f t="shared" si="90"/>
        <v>9064000</v>
      </c>
      <c r="AM793" s="312">
        <f t="shared" si="93"/>
        <v>15656000</v>
      </c>
      <c r="AN793" s="306" t="s">
        <v>1863</v>
      </c>
      <c r="AO793" s="312">
        <f t="shared" si="94"/>
        <v>0</v>
      </c>
      <c r="AP793" s="306"/>
      <c r="AQ793" s="306"/>
      <c r="AR793" s="306"/>
      <c r="AS793" s="306"/>
      <c r="AT793" s="306"/>
    </row>
    <row r="794" spans="1:46" ht="140.25" x14ac:dyDescent="0.25">
      <c r="A794" s="306">
        <v>199</v>
      </c>
      <c r="B794" s="306" t="str">
        <f t="shared" si="91"/>
        <v>3075-199</v>
      </c>
      <c r="C794" s="307" t="s">
        <v>1852</v>
      </c>
      <c r="D794" s="308" t="s">
        <v>1853</v>
      </c>
      <c r="E794" s="308" t="s">
        <v>2119</v>
      </c>
      <c r="F794" s="307" t="s">
        <v>1907</v>
      </c>
      <c r="G794" s="327" t="s">
        <v>1908</v>
      </c>
      <c r="H794" s="335" t="s">
        <v>1909</v>
      </c>
      <c r="I794" s="308" t="s">
        <v>1858</v>
      </c>
      <c r="J794" s="308" t="s">
        <v>1859</v>
      </c>
      <c r="K794" s="308">
        <v>801116</v>
      </c>
      <c r="L794" s="306" t="s">
        <v>1860</v>
      </c>
      <c r="M794" s="306" t="s">
        <v>59</v>
      </c>
      <c r="N794" s="306" t="s">
        <v>60</v>
      </c>
      <c r="O794" s="308" t="s">
        <v>1910</v>
      </c>
      <c r="P794" s="329" t="s">
        <v>2138</v>
      </c>
      <c r="Q794" s="315">
        <v>5665000</v>
      </c>
      <c r="R794" s="333">
        <v>1</v>
      </c>
      <c r="S794" s="312">
        <v>33990000</v>
      </c>
      <c r="T794" s="306" t="s">
        <v>900</v>
      </c>
      <c r="U794" s="306" t="s">
        <v>1906</v>
      </c>
      <c r="V794" s="313" t="s">
        <v>308</v>
      </c>
      <c r="W794" s="314">
        <v>6</v>
      </c>
      <c r="X794" s="329" t="s">
        <v>2388</v>
      </c>
      <c r="Y794" s="313">
        <v>43104</v>
      </c>
      <c r="Z794" s="315">
        <v>33990000</v>
      </c>
      <c r="AA794" s="316" t="s">
        <v>2348</v>
      </c>
      <c r="AB794" s="317">
        <v>423</v>
      </c>
      <c r="AC794" s="313">
        <v>43111</v>
      </c>
      <c r="AD794" s="312">
        <v>33990000</v>
      </c>
      <c r="AE794" s="318">
        <f t="shared" si="92"/>
        <v>0</v>
      </c>
      <c r="AF794" s="317">
        <v>428</v>
      </c>
      <c r="AG794" s="313">
        <v>43124</v>
      </c>
      <c r="AH794" s="312">
        <v>33990000</v>
      </c>
      <c r="AI794" s="306" t="s">
        <v>2389</v>
      </c>
      <c r="AJ794" s="306">
        <v>363</v>
      </c>
      <c r="AK794" s="318">
        <f t="shared" si="95"/>
        <v>0</v>
      </c>
      <c r="AL794" s="312">
        <f t="shared" si="90"/>
        <v>6042667</v>
      </c>
      <c r="AM794" s="312">
        <f t="shared" si="93"/>
        <v>27947333</v>
      </c>
      <c r="AN794" s="306" t="s">
        <v>1863</v>
      </c>
      <c r="AO794" s="312">
        <f t="shared" si="94"/>
        <v>0</v>
      </c>
      <c r="AP794" s="306"/>
      <c r="AQ794" s="306"/>
      <c r="AR794" s="306"/>
      <c r="AS794" s="306"/>
      <c r="AT794" s="306"/>
    </row>
    <row r="795" spans="1:46" ht="140.25" x14ac:dyDescent="0.25">
      <c r="A795" s="306">
        <v>200</v>
      </c>
      <c r="B795" s="306" t="str">
        <f t="shared" si="91"/>
        <v>3075-200</v>
      </c>
      <c r="C795" s="307" t="s">
        <v>1852</v>
      </c>
      <c r="D795" s="308" t="s">
        <v>1853</v>
      </c>
      <c r="E795" s="308" t="s">
        <v>2119</v>
      </c>
      <c r="F795" s="307" t="s">
        <v>1907</v>
      </c>
      <c r="G795" s="327" t="s">
        <v>1908</v>
      </c>
      <c r="H795" s="335" t="s">
        <v>1909</v>
      </c>
      <c r="I795" s="308" t="s">
        <v>1858</v>
      </c>
      <c r="J795" s="308" t="s">
        <v>1859</v>
      </c>
      <c r="K795" s="308">
        <v>801116</v>
      </c>
      <c r="L795" s="306" t="s">
        <v>1860</v>
      </c>
      <c r="M795" s="306" t="s">
        <v>59</v>
      </c>
      <c r="N795" s="306" t="s">
        <v>60</v>
      </c>
      <c r="O795" s="308" t="s">
        <v>1910</v>
      </c>
      <c r="P795" s="329" t="s">
        <v>2138</v>
      </c>
      <c r="Q795" s="315">
        <v>7210000</v>
      </c>
      <c r="R795" s="333">
        <v>1</v>
      </c>
      <c r="S795" s="312">
        <v>43260000</v>
      </c>
      <c r="T795" s="306" t="s">
        <v>900</v>
      </c>
      <c r="U795" s="306" t="s">
        <v>1906</v>
      </c>
      <c r="V795" s="313" t="s">
        <v>308</v>
      </c>
      <c r="W795" s="314">
        <v>6</v>
      </c>
      <c r="X795" s="329" t="s">
        <v>2390</v>
      </c>
      <c r="Y795" s="313">
        <v>43104</v>
      </c>
      <c r="Z795" s="315">
        <v>43260000</v>
      </c>
      <c r="AA795" s="316" t="s">
        <v>2391</v>
      </c>
      <c r="AB795" s="317">
        <v>424</v>
      </c>
      <c r="AC795" s="313">
        <v>43111</v>
      </c>
      <c r="AD795" s="312">
        <v>43260000</v>
      </c>
      <c r="AE795" s="318">
        <f t="shared" si="92"/>
        <v>0</v>
      </c>
      <c r="AF795" s="317">
        <v>371</v>
      </c>
      <c r="AG795" s="313">
        <v>43124</v>
      </c>
      <c r="AH795" s="312">
        <v>43260000</v>
      </c>
      <c r="AI795" s="306" t="s">
        <v>2392</v>
      </c>
      <c r="AJ795" s="306">
        <v>325</v>
      </c>
      <c r="AK795" s="318">
        <f t="shared" si="95"/>
        <v>0</v>
      </c>
      <c r="AL795" s="312">
        <f t="shared" si="90"/>
        <v>16102333</v>
      </c>
      <c r="AM795" s="312">
        <f t="shared" si="93"/>
        <v>27157667</v>
      </c>
      <c r="AN795" s="306" t="s">
        <v>1863</v>
      </c>
      <c r="AO795" s="312">
        <f t="shared" si="94"/>
        <v>0</v>
      </c>
      <c r="AP795" s="306"/>
      <c r="AQ795" s="306"/>
      <c r="AR795" s="306"/>
      <c r="AS795" s="306"/>
      <c r="AT795" s="306"/>
    </row>
    <row r="796" spans="1:46" ht="140.25" x14ac:dyDescent="0.25">
      <c r="A796" s="306">
        <v>201</v>
      </c>
      <c r="B796" s="306" t="str">
        <f t="shared" si="91"/>
        <v>3075-201</v>
      </c>
      <c r="C796" s="307" t="s">
        <v>1852</v>
      </c>
      <c r="D796" s="308" t="s">
        <v>1853</v>
      </c>
      <c r="E796" s="308" t="s">
        <v>2119</v>
      </c>
      <c r="F796" s="307" t="s">
        <v>1907</v>
      </c>
      <c r="G796" s="327" t="s">
        <v>1908</v>
      </c>
      <c r="H796" s="335" t="s">
        <v>1909</v>
      </c>
      <c r="I796" s="308" t="s">
        <v>1858</v>
      </c>
      <c r="J796" s="308" t="s">
        <v>1859</v>
      </c>
      <c r="K796" s="308">
        <v>801116</v>
      </c>
      <c r="L796" s="306" t="s">
        <v>1860</v>
      </c>
      <c r="M796" s="306" t="s">
        <v>59</v>
      </c>
      <c r="N796" s="306" t="s">
        <v>60</v>
      </c>
      <c r="O796" s="308" t="s">
        <v>1910</v>
      </c>
      <c r="P796" s="329" t="s">
        <v>2138</v>
      </c>
      <c r="Q796" s="315">
        <v>7210000</v>
      </c>
      <c r="R796" s="333">
        <v>1</v>
      </c>
      <c r="S796" s="312">
        <v>43260000</v>
      </c>
      <c r="T796" s="306" t="s">
        <v>900</v>
      </c>
      <c r="U796" s="306" t="s">
        <v>1906</v>
      </c>
      <c r="V796" s="313" t="s">
        <v>308</v>
      </c>
      <c r="W796" s="314">
        <v>6</v>
      </c>
      <c r="X796" s="329" t="s">
        <v>2393</v>
      </c>
      <c r="Y796" s="313">
        <v>43104</v>
      </c>
      <c r="Z796" s="315">
        <v>43260000</v>
      </c>
      <c r="AA796" s="316" t="s">
        <v>2391</v>
      </c>
      <c r="AB796" s="317">
        <v>465</v>
      </c>
      <c r="AC796" s="313">
        <v>43112</v>
      </c>
      <c r="AD796" s="312">
        <v>43260000</v>
      </c>
      <c r="AE796" s="318">
        <f t="shared" si="92"/>
        <v>0</v>
      </c>
      <c r="AF796" s="317">
        <v>423</v>
      </c>
      <c r="AG796" s="313">
        <v>43124</v>
      </c>
      <c r="AH796" s="312">
        <v>43260000</v>
      </c>
      <c r="AI796" s="306" t="s">
        <v>2394</v>
      </c>
      <c r="AJ796" s="306">
        <v>366</v>
      </c>
      <c r="AK796" s="318">
        <f t="shared" si="95"/>
        <v>0</v>
      </c>
      <c r="AL796" s="312">
        <f t="shared" si="90"/>
        <v>15862000</v>
      </c>
      <c r="AM796" s="312">
        <f t="shared" si="93"/>
        <v>27398000</v>
      </c>
      <c r="AN796" s="306" t="s">
        <v>1863</v>
      </c>
      <c r="AO796" s="312">
        <f t="shared" si="94"/>
        <v>0</v>
      </c>
      <c r="AP796" s="306"/>
      <c r="AQ796" s="306"/>
      <c r="AR796" s="306"/>
      <c r="AS796" s="306"/>
      <c r="AT796" s="306"/>
    </row>
    <row r="797" spans="1:46" ht="140.25" x14ac:dyDescent="0.25">
      <c r="A797" s="306">
        <v>202</v>
      </c>
      <c r="B797" s="306" t="str">
        <f t="shared" si="91"/>
        <v>3075-202</v>
      </c>
      <c r="C797" s="307" t="s">
        <v>1852</v>
      </c>
      <c r="D797" s="308" t="s">
        <v>1853</v>
      </c>
      <c r="E797" s="308" t="s">
        <v>2119</v>
      </c>
      <c r="F797" s="307" t="s">
        <v>1907</v>
      </c>
      <c r="G797" s="327" t="s">
        <v>1908</v>
      </c>
      <c r="H797" s="335" t="s">
        <v>1909</v>
      </c>
      <c r="I797" s="308" t="s">
        <v>1858</v>
      </c>
      <c r="J797" s="308" t="s">
        <v>1859</v>
      </c>
      <c r="K797" s="308">
        <v>801116</v>
      </c>
      <c r="L797" s="306" t="s">
        <v>1860</v>
      </c>
      <c r="M797" s="306" t="s">
        <v>59</v>
      </c>
      <c r="N797" s="306" t="s">
        <v>60</v>
      </c>
      <c r="O797" s="308" t="s">
        <v>1910</v>
      </c>
      <c r="P797" s="329" t="s">
        <v>2138</v>
      </c>
      <c r="Q797" s="315">
        <v>7210000</v>
      </c>
      <c r="R797" s="333">
        <v>1</v>
      </c>
      <c r="S797" s="312">
        <v>43260000</v>
      </c>
      <c r="T797" s="306" t="s">
        <v>900</v>
      </c>
      <c r="U797" s="306" t="s">
        <v>1906</v>
      </c>
      <c r="V797" s="313" t="s">
        <v>308</v>
      </c>
      <c r="W797" s="314">
        <v>5</v>
      </c>
      <c r="X797" s="329" t="s">
        <v>2395</v>
      </c>
      <c r="Y797" s="313">
        <v>43104</v>
      </c>
      <c r="Z797" s="315">
        <v>36050000</v>
      </c>
      <c r="AA797" s="316" t="s">
        <v>2391</v>
      </c>
      <c r="AB797" s="317">
        <v>466</v>
      </c>
      <c r="AC797" s="313">
        <v>43112</v>
      </c>
      <c r="AD797" s="312">
        <v>36050000</v>
      </c>
      <c r="AE797" s="318">
        <f t="shared" si="92"/>
        <v>7210000</v>
      </c>
      <c r="AF797" s="317">
        <v>334</v>
      </c>
      <c r="AG797" s="313">
        <v>43123</v>
      </c>
      <c r="AH797" s="312">
        <v>36050000</v>
      </c>
      <c r="AI797" s="306" t="s">
        <v>2396</v>
      </c>
      <c r="AJ797" s="306">
        <v>339</v>
      </c>
      <c r="AK797" s="318">
        <f t="shared" si="95"/>
        <v>0</v>
      </c>
      <c r="AL797" s="312">
        <f t="shared" si="90"/>
        <v>15862000</v>
      </c>
      <c r="AM797" s="312">
        <f t="shared" si="93"/>
        <v>20188000</v>
      </c>
      <c r="AN797" s="306" t="s">
        <v>1863</v>
      </c>
      <c r="AO797" s="312">
        <f t="shared" si="94"/>
        <v>7210000</v>
      </c>
      <c r="AP797" s="306"/>
      <c r="AQ797" s="306"/>
      <c r="AR797" s="306"/>
      <c r="AS797" s="306"/>
      <c r="AT797" s="306"/>
    </row>
    <row r="798" spans="1:46" ht="140.25" x14ac:dyDescent="0.25">
      <c r="A798" s="306">
        <v>203</v>
      </c>
      <c r="B798" s="306" t="str">
        <f t="shared" si="91"/>
        <v>3075-203</v>
      </c>
      <c r="C798" s="307" t="s">
        <v>1852</v>
      </c>
      <c r="D798" s="308" t="s">
        <v>1853</v>
      </c>
      <c r="E798" s="308" t="s">
        <v>2119</v>
      </c>
      <c r="F798" s="307" t="s">
        <v>1907</v>
      </c>
      <c r="G798" s="327" t="s">
        <v>1908</v>
      </c>
      <c r="H798" s="335" t="s">
        <v>1909</v>
      </c>
      <c r="I798" s="308" t="s">
        <v>1858</v>
      </c>
      <c r="J798" s="308" t="s">
        <v>1859</v>
      </c>
      <c r="K798" s="308">
        <v>801116</v>
      </c>
      <c r="L798" s="306" t="s">
        <v>1860</v>
      </c>
      <c r="M798" s="306" t="s">
        <v>59</v>
      </c>
      <c r="N798" s="306" t="s">
        <v>60</v>
      </c>
      <c r="O798" s="308" t="s">
        <v>1910</v>
      </c>
      <c r="P798" s="329" t="s">
        <v>2138</v>
      </c>
      <c r="Q798" s="315">
        <v>6180000</v>
      </c>
      <c r="R798" s="333">
        <v>1</v>
      </c>
      <c r="S798" s="312">
        <v>37080000</v>
      </c>
      <c r="T798" s="306" t="s">
        <v>900</v>
      </c>
      <c r="U798" s="306" t="s">
        <v>1906</v>
      </c>
      <c r="V798" s="313" t="s">
        <v>308</v>
      </c>
      <c r="W798" s="314">
        <v>6</v>
      </c>
      <c r="X798" s="329" t="s">
        <v>2397</v>
      </c>
      <c r="Y798" s="313">
        <v>43104</v>
      </c>
      <c r="Z798" s="315">
        <v>37080000</v>
      </c>
      <c r="AA798" s="316" t="s">
        <v>2398</v>
      </c>
      <c r="AB798" s="317">
        <v>455</v>
      </c>
      <c r="AC798" s="313">
        <v>43111</v>
      </c>
      <c r="AD798" s="312">
        <v>37080000</v>
      </c>
      <c r="AE798" s="318">
        <f t="shared" si="92"/>
        <v>0</v>
      </c>
      <c r="AF798" s="317">
        <v>268</v>
      </c>
      <c r="AG798" s="313">
        <v>43119</v>
      </c>
      <c r="AH798" s="312">
        <v>37080000</v>
      </c>
      <c r="AI798" s="306" t="s">
        <v>2399</v>
      </c>
      <c r="AJ798" s="306">
        <v>238</v>
      </c>
      <c r="AK798" s="318">
        <f t="shared" si="95"/>
        <v>0</v>
      </c>
      <c r="AL798" s="312">
        <f t="shared" si="90"/>
        <v>14214000</v>
      </c>
      <c r="AM798" s="312">
        <f t="shared" si="93"/>
        <v>22866000</v>
      </c>
      <c r="AN798" s="306" t="s">
        <v>1863</v>
      </c>
      <c r="AO798" s="312">
        <f t="shared" si="94"/>
        <v>0</v>
      </c>
      <c r="AP798" s="306"/>
      <c r="AQ798" s="306"/>
      <c r="AR798" s="306"/>
      <c r="AS798" s="306"/>
      <c r="AT798" s="306"/>
    </row>
    <row r="799" spans="1:46" ht="76.5" x14ac:dyDescent="0.25">
      <c r="A799" s="306">
        <v>204</v>
      </c>
      <c r="B799" s="306" t="str">
        <f t="shared" si="91"/>
        <v>3075-204</v>
      </c>
      <c r="C799" s="307" t="s">
        <v>1852</v>
      </c>
      <c r="D799" s="308" t="s">
        <v>1853</v>
      </c>
      <c r="E799" s="308" t="s">
        <v>2119</v>
      </c>
      <c r="F799" s="307" t="s">
        <v>1880</v>
      </c>
      <c r="G799" s="327" t="s">
        <v>1881</v>
      </c>
      <c r="H799" s="310" t="s">
        <v>2120</v>
      </c>
      <c r="I799" s="308" t="s">
        <v>1858</v>
      </c>
      <c r="J799" s="308" t="s">
        <v>1859</v>
      </c>
      <c r="K799" s="308" t="s">
        <v>63</v>
      </c>
      <c r="L799" s="306" t="s">
        <v>1860</v>
      </c>
      <c r="M799" s="306" t="s">
        <v>59</v>
      </c>
      <c r="N799" s="306" t="s">
        <v>60</v>
      </c>
      <c r="O799" s="308" t="s">
        <v>1910</v>
      </c>
      <c r="P799" s="306" t="s">
        <v>2400</v>
      </c>
      <c r="Q799" s="315">
        <v>54686940</v>
      </c>
      <c r="R799" s="333">
        <v>1</v>
      </c>
      <c r="S799" s="312">
        <v>54686940</v>
      </c>
      <c r="T799" s="306" t="s">
        <v>1876</v>
      </c>
      <c r="U799" s="306" t="s">
        <v>1876</v>
      </c>
      <c r="V799" s="313" t="s">
        <v>308</v>
      </c>
      <c r="W799" s="314" t="s">
        <v>63</v>
      </c>
      <c r="X799" s="334" t="s">
        <v>2401</v>
      </c>
      <c r="Y799" s="313">
        <v>43109</v>
      </c>
      <c r="Z799" s="315">
        <v>54686940</v>
      </c>
      <c r="AA799" s="316" t="s">
        <v>2402</v>
      </c>
      <c r="AB799" s="317">
        <v>370</v>
      </c>
      <c r="AC799" s="313">
        <v>43110</v>
      </c>
      <c r="AD799" s="312">
        <v>54686940</v>
      </c>
      <c r="AE799" s="318">
        <f t="shared" si="92"/>
        <v>0</v>
      </c>
      <c r="AF799" s="317">
        <v>511</v>
      </c>
      <c r="AG799" s="313">
        <v>43129</v>
      </c>
      <c r="AH799" s="312">
        <v>54686940</v>
      </c>
      <c r="AI799" s="306" t="s">
        <v>2403</v>
      </c>
      <c r="AJ799" s="306">
        <v>201</v>
      </c>
      <c r="AK799" s="318">
        <f t="shared" si="95"/>
        <v>0</v>
      </c>
      <c r="AL799" s="312">
        <f t="shared" si="90"/>
        <v>54686940</v>
      </c>
      <c r="AM799" s="312">
        <f t="shared" si="93"/>
        <v>0</v>
      </c>
      <c r="AN799" s="306" t="s">
        <v>1863</v>
      </c>
      <c r="AO799" s="312">
        <f t="shared" si="94"/>
        <v>0</v>
      </c>
      <c r="AP799" s="306"/>
      <c r="AQ799" s="306"/>
      <c r="AR799" s="306"/>
      <c r="AS799" s="306"/>
      <c r="AT799" s="306"/>
    </row>
    <row r="800" spans="1:46" ht="76.5" x14ac:dyDescent="0.25">
      <c r="A800" s="306">
        <v>205</v>
      </c>
      <c r="B800" s="306" t="str">
        <f t="shared" si="91"/>
        <v>3075-205</v>
      </c>
      <c r="C800" s="307" t="s">
        <v>1852</v>
      </c>
      <c r="D800" s="308" t="s">
        <v>1853</v>
      </c>
      <c r="E800" s="308" t="s">
        <v>2119</v>
      </c>
      <c r="F800" s="307" t="s">
        <v>1880</v>
      </c>
      <c r="G800" s="327" t="s">
        <v>1881</v>
      </c>
      <c r="H800" s="310" t="s">
        <v>2120</v>
      </c>
      <c r="I800" s="308" t="s">
        <v>1858</v>
      </c>
      <c r="J800" s="308" t="s">
        <v>1859</v>
      </c>
      <c r="K800" s="308" t="s">
        <v>63</v>
      </c>
      <c r="L800" s="306" t="s">
        <v>1860</v>
      </c>
      <c r="M800" s="306" t="s">
        <v>59</v>
      </c>
      <c r="N800" s="306" t="s">
        <v>60</v>
      </c>
      <c r="O800" s="308" t="s">
        <v>1910</v>
      </c>
      <c r="P800" s="306" t="s">
        <v>2404</v>
      </c>
      <c r="Q800" s="315">
        <v>54686940</v>
      </c>
      <c r="R800" s="333">
        <v>1</v>
      </c>
      <c r="S800" s="312">
        <v>54686940</v>
      </c>
      <c r="T800" s="306" t="s">
        <v>1876</v>
      </c>
      <c r="U800" s="306" t="s">
        <v>1876</v>
      </c>
      <c r="V800" s="313" t="s">
        <v>308</v>
      </c>
      <c r="W800" s="314" t="s">
        <v>63</v>
      </c>
      <c r="X800" s="334" t="s">
        <v>2405</v>
      </c>
      <c r="Y800" s="313">
        <v>43109</v>
      </c>
      <c r="Z800" s="315">
        <v>54686940</v>
      </c>
      <c r="AA800" s="316" t="s">
        <v>2402</v>
      </c>
      <c r="AB800" s="317">
        <v>400</v>
      </c>
      <c r="AC800" s="313">
        <v>43110</v>
      </c>
      <c r="AD800" s="312">
        <v>54686940</v>
      </c>
      <c r="AE800" s="318">
        <f t="shared" si="92"/>
        <v>0</v>
      </c>
      <c r="AF800" s="317">
        <v>311</v>
      </c>
      <c r="AG800" s="313">
        <v>43122</v>
      </c>
      <c r="AH800" s="312">
        <v>54686940</v>
      </c>
      <c r="AI800" s="306" t="s">
        <v>2406</v>
      </c>
      <c r="AJ800" s="306">
        <v>34</v>
      </c>
      <c r="AK800" s="318">
        <f t="shared" si="95"/>
        <v>0</v>
      </c>
      <c r="AL800" s="312">
        <f t="shared" si="90"/>
        <v>54686940</v>
      </c>
      <c r="AM800" s="312">
        <f t="shared" si="93"/>
        <v>0</v>
      </c>
      <c r="AN800" s="306" t="s">
        <v>1863</v>
      </c>
      <c r="AO800" s="312">
        <f t="shared" si="94"/>
        <v>0</v>
      </c>
      <c r="AP800" s="306"/>
      <c r="AQ800" s="306"/>
      <c r="AR800" s="306"/>
      <c r="AS800" s="306"/>
      <c r="AT800" s="306"/>
    </row>
    <row r="801" spans="1:46" ht="76.5" x14ac:dyDescent="0.25">
      <c r="A801" s="306">
        <v>206</v>
      </c>
      <c r="B801" s="306" t="str">
        <f t="shared" si="91"/>
        <v>3075-206</v>
      </c>
      <c r="C801" s="307" t="s">
        <v>1852</v>
      </c>
      <c r="D801" s="308" t="s">
        <v>1853</v>
      </c>
      <c r="E801" s="308" t="s">
        <v>2119</v>
      </c>
      <c r="F801" s="307" t="s">
        <v>1880</v>
      </c>
      <c r="G801" s="327" t="s">
        <v>1881</v>
      </c>
      <c r="H801" s="310" t="s">
        <v>2120</v>
      </c>
      <c r="I801" s="308" t="s">
        <v>1858</v>
      </c>
      <c r="J801" s="308" t="s">
        <v>1859</v>
      </c>
      <c r="K801" s="308" t="s">
        <v>63</v>
      </c>
      <c r="L801" s="306" t="s">
        <v>1860</v>
      </c>
      <c r="M801" s="306" t="s">
        <v>59</v>
      </c>
      <c r="N801" s="306" t="s">
        <v>60</v>
      </c>
      <c r="O801" s="308" t="s">
        <v>1910</v>
      </c>
      <c r="P801" s="306" t="s">
        <v>2407</v>
      </c>
      <c r="Q801" s="315">
        <v>54686940</v>
      </c>
      <c r="R801" s="333">
        <v>1</v>
      </c>
      <c r="S801" s="312">
        <v>54686940</v>
      </c>
      <c r="T801" s="306" t="s">
        <v>1876</v>
      </c>
      <c r="U801" s="306" t="s">
        <v>1876</v>
      </c>
      <c r="V801" s="313" t="s">
        <v>308</v>
      </c>
      <c r="W801" s="314" t="s">
        <v>63</v>
      </c>
      <c r="X801" s="334" t="s">
        <v>2408</v>
      </c>
      <c r="Y801" s="313">
        <v>43109</v>
      </c>
      <c r="Z801" s="315">
        <v>54686940</v>
      </c>
      <c r="AA801" s="316" t="s">
        <v>2402</v>
      </c>
      <c r="AB801" s="317">
        <v>377</v>
      </c>
      <c r="AC801" s="313">
        <v>43110</v>
      </c>
      <c r="AD801" s="312">
        <v>54686940</v>
      </c>
      <c r="AE801" s="318">
        <f t="shared" si="92"/>
        <v>0</v>
      </c>
      <c r="AF801" s="317">
        <v>327</v>
      </c>
      <c r="AG801" s="313">
        <v>43123</v>
      </c>
      <c r="AH801" s="312">
        <v>54686940</v>
      </c>
      <c r="AI801" s="306" t="s">
        <v>2409</v>
      </c>
      <c r="AJ801" s="306">
        <v>35</v>
      </c>
      <c r="AK801" s="318">
        <f t="shared" si="95"/>
        <v>0</v>
      </c>
      <c r="AL801" s="312">
        <f t="shared" si="90"/>
        <v>54686940</v>
      </c>
      <c r="AM801" s="312">
        <f t="shared" si="93"/>
        <v>0</v>
      </c>
      <c r="AN801" s="306" t="s">
        <v>1863</v>
      </c>
      <c r="AO801" s="312">
        <f t="shared" si="94"/>
        <v>0</v>
      </c>
      <c r="AP801" s="306"/>
      <c r="AQ801" s="306"/>
      <c r="AR801" s="306"/>
      <c r="AS801" s="306"/>
      <c r="AT801" s="306"/>
    </row>
    <row r="802" spans="1:46" ht="76.5" x14ac:dyDescent="0.25">
      <c r="A802" s="306">
        <v>207</v>
      </c>
      <c r="B802" s="306" t="str">
        <f t="shared" si="91"/>
        <v>3075-207</v>
      </c>
      <c r="C802" s="307" t="s">
        <v>1852</v>
      </c>
      <c r="D802" s="308" t="s">
        <v>1853</v>
      </c>
      <c r="E802" s="308" t="s">
        <v>2119</v>
      </c>
      <c r="F802" s="307" t="s">
        <v>1880</v>
      </c>
      <c r="G802" s="327" t="s">
        <v>1881</v>
      </c>
      <c r="H802" s="310" t="s">
        <v>2120</v>
      </c>
      <c r="I802" s="308" t="s">
        <v>1858</v>
      </c>
      <c r="J802" s="308" t="s">
        <v>1859</v>
      </c>
      <c r="K802" s="308" t="s">
        <v>63</v>
      </c>
      <c r="L802" s="306" t="s">
        <v>1860</v>
      </c>
      <c r="M802" s="306" t="s">
        <v>59</v>
      </c>
      <c r="N802" s="306" t="s">
        <v>60</v>
      </c>
      <c r="O802" s="308" t="s">
        <v>1910</v>
      </c>
      <c r="P802" s="306" t="s">
        <v>2410</v>
      </c>
      <c r="Q802" s="315">
        <v>54686940</v>
      </c>
      <c r="R802" s="333">
        <v>1</v>
      </c>
      <c r="S802" s="312">
        <v>54686940</v>
      </c>
      <c r="T802" s="306" t="s">
        <v>1876</v>
      </c>
      <c r="U802" s="306" t="s">
        <v>1876</v>
      </c>
      <c r="V802" s="313" t="s">
        <v>411</v>
      </c>
      <c r="W802" s="314" t="s">
        <v>63</v>
      </c>
      <c r="X802" s="334" t="s">
        <v>2411</v>
      </c>
      <c r="Y802" s="313">
        <v>43109</v>
      </c>
      <c r="Z802" s="315">
        <v>54686940</v>
      </c>
      <c r="AA802" s="316" t="s">
        <v>2402</v>
      </c>
      <c r="AB802" s="317">
        <v>397</v>
      </c>
      <c r="AC802" s="313">
        <v>43110</v>
      </c>
      <c r="AD802" s="312">
        <v>54686940</v>
      </c>
      <c r="AE802" s="318">
        <f t="shared" si="92"/>
        <v>0</v>
      </c>
      <c r="AF802" s="317">
        <v>1332</v>
      </c>
      <c r="AG802" s="313">
        <v>43144</v>
      </c>
      <c r="AH802" s="312">
        <v>54686940</v>
      </c>
      <c r="AI802" s="306" t="s">
        <v>2412</v>
      </c>
      <c r="AJ802" s="306">
        <v>1102</v>
      </c>
      <c r="AK802" s="318">
        <f t="shared" si="95"/>
        <v>0</v>
      </c>
      <c r="AL802" s="312">
        <f t="shared" si="90"/>
        <v>54686940</v>
      </c>
      <c r="AM802" s="312">
        <f t="shared" si="93"/>
        <v>0</v>
      </c>
      <c r="AN802" s="306" t="s">
        <v>1863</v>
      </c>
      <c r="AO802" s="312">
        <f t="shared" si="94"/>
        <v>0</v>
      </c>
      <c r="AP802" s="306"/>
      <c r="AQ802" s="306"/>
      <c r="AR802" s="306"/>
      <c r="AS802" s="306"/>
      <c r="AT802" s="306"/>
    </row>
    <row r="803" spans="1:46" ht="76.5" x14ac:dyDescent="0.25">
      <c r="A803" s="306">
        <v>208</v>
      </c>
      <c r="B803" s="306" t="str">
        <f t="shared" si="91"/>
        <v>3075-208</v>
      </c>
      <c r="C803" s="307" t="s">
        <v>1852</v>
      </c>
      <c r="D803" s="308" t="s">
        <v>1853</v>
      </c>
      <c r="E803" s="308" t="s">
        <v>2119</v>
      </c>
      <c r="F803" s="307" t="s">
        <v>1880</v>
      </c>
      <c r="G803" s="327" t="s">
        <v>1881</v>
      </c>
      <c r="H803" s="310" t="s">
        <v>2120</v>
      </c>
      <c r="I803" s="308" t="s">
        <v>1858</v>
      </c>
      <c r="J803" s="308" t="s">
        <v>1859</v>
      </c>
      <c r="K803" s="308" t="s">
        <v>63</v>
      </c>
      <c r="L803" s="306" t="s">
        <v>1860</v>
      </c>
      <c r="M803" s="306" t="s">
        <v>59</v>
      </c>
      <c r="N803" s="306" t="s">
        <v>60</v>
      </c>
      <c r="O803" s="308" t="s">
        <v>1910</v>
      </c>
      <c r="P803" s="306" t="s">
        <v>2413</v>
      </c>
      <c r="Q803" s="315">
        <v>54686940</v>
      </c>
      <c r="R803" s="333">
        <v>1</v>
      </c>
      <c r="S803" s="312">
        <v>54686940</v>
      </c>
      <c r="T803" s="306" t="s">
        <v>1876</v>
      </c>
      <c r="U803" s="306" t="s">
        <v>1876</v>
      </c>
      <c r="V803" s="313" t="s">
        <v>308</v>
      </c>
      <c r="W803" s="314" t="s">
        <v>63</v>
      </c>
      <c r="X803" s="334" t="s">
        <v>2414</v>
      </c>
      <c r="Y803" s="313">
        <v>43109</v>
      </c>
      <c r="Z803" s="315">
        <v>54686940</v>
      </c>
      <c r="AA803" s="316" t="s">
        <v>2402</v>
      </c>
      <c r="AB803" s="317">
        <v>426</v>
      </c>
      <c r="AC803" s="313">
        <v>43111</v>
      </c>
      <c r="AD803" s="312">
        <v>54686940</v>
      </c>
      <c r="AE803" s="318">
        <f t="shared" si="92"/>
        <v>0</v>
      </c>
      <c r="AF803" s="317">
        <v>509</v>
      </c>
      <c r="AG803" s="313">
        <v>43129</v>
      </c>
      <c r="AH803" s="312">
        <v>54686940</v>
      </c>
      <c r="AI803" s="306" t="s">
        <v>2415</v>
      </c>
      <c r="AJ803" s="306">
        <v>202</v>
      </c>
      <c r="AK803" s="318">
        <f t="shared" si="95"/>
        <v>0</v>
      </c>
      <c r="AL803" s="312">
        <f t="shared" si="90"/>
        <v>54686940</v>
      </c>
      <c r="AM803" s="312">
        <f t="shared" si="93"/>
        <v>0</v>
      </c>
      <c r="AN803" s="306" t="s">
        <v>1863</v>
      </c>
      <c r="AO803" s="312">
        <f t="shared" si="94"/>
        <v>0</v>
      </c>
      <c r="AP803" s="306"/>
      <c r="AQ803" s="306"/>
      <c r="AR803" s="306"/>
      <c r="AS803" s="306"/>
      <c r="AT803" s="306"/>
    </row>
    <row r="804" spans="1:46" ht="76.5" x14ac:dyDescent="0.25">
      <c r="A804" s="306">
        <v>209</v>
      </c>
      <c r="B804" s="306" t="str">
        <f t="shared" si="91"/>
        <v>3075-209</v>
      </c>
      <c r="C804" s="307" t="s">
        <v>1852</v>
      </c>
      <c r="D804" s="308" t="s">
        <v>1853</v>
      </c>
      <c r="E804" s="308" t="s">
        <v>2119</v>
      </c>
      <c r="F804" s="307" t="s">
        <v>1880</v>
      </c>
      <c r="G804" s="327" t="s">
        <v>1881</v>
      </c>
      <c r="H804" s="310" t="s">
        <v>2120</v>
      </c>
      <c r="I804" s="308" t="s">
        <v>1858</v>
      </c>
      <c r="J804" s="308" t="s">
        <v>1859</v>
      </c>
      <c r="K804" s="308" t="s">
        <v>63</v>
      </c>
      <c r="L804" s="306" t="s">
        <v>1860</v>
      </c>
      <c r="M804" s="306" t="s">
        <v>59</v>
      </c>
      <c r="N804" s="306" t="s">
        <v>60</v>
      </c>
      <c r="O804" s="308" t="s">
        <v>1910</v>
      </c>
      <c r="P804" s="306" t="s">
        <v>2416</v>
      </c>
      <c r="Q804" s="315">
        <v>54686940</v>
      </c>
      <c r="R804" s="333">
        <v>1</v>
      </c>
      <c r="S804" s="312">
        <v>54686940</v>
      </c>
      <c r="T804" s="306" t="s">
        <v>1876</v>
      </c>
      <c r="U804" s="306" t="s">
        <v>1876</v>
      </c>
      <c r="V804" s="313" t="s">
        <v>308</v>
      </c>
      <c r="W804" s="314" t="s">
        <v>63</v>
      </c>
      <c r="X804" s="334" t="s">
        <v>2417</v>
      </c>
      <c r="Y804" s="313">
        <v>43109</v>
      </c>
      <c r="Z804" s="315">
        <v>54686940</v>
      </c>
      <c r="AA804" s="316" t="s">
        <v>2402</v>
      </c>
      <c r="AB804" s="317">
        <v>428</v>
      </c>
      <c r="AC804" s="313">
        <v>43111</v>
      </c>
      <c r="AD804" s="312">
        <v>54686940</v>
      </c>
      <c r="AE804" s="318">
        <f t="shared" si="92"/>
        <v>0</v>
      </c>
      <c r="AF804" s="317">
        <v>328</v>
      </c>
      <c r="AG804" s="313">
        <v>43123</v>
      </c>
      <c r="AH804" s="312">
        <v>54686940</v>
      </c>
      <c r="AI804" s="306" t="s">
        <v>2418</v>
      </c>
      <c r="AJ804" s="306">
        <v>33</v>
      </c>
      <c r="AK804" s="318">
        <f t="shared" si="95"/>
        <v>0</v>
      </c>
      <c r="AL804" s="312">
        <f t="shared" si="90"/>
        <v>54686940</v>
      </c>
      <c r="AM804" s="312">
        <f t="shared" si="93"/>
        <v>0</v>
      </c>
      <c r="AN804" s="306" t="s">
        <v>1863</v>
      </c>
      <c r="AO804" s="312">
        <f t="shared" si="94"/>
        <v>0</v>
      </c>
      <c r="AP804" s="306"/>
      <c r="AQ804" s="306"/>
      <c r="AR804" s="306"/>
      <c r="AS804" s="306"/>
      <c r="AT804" s="306"/>
    </row>
    <row r="805" spans="1:46" ht="76.5" x14ac:dyDescent="0.25">
      <c r="A805" s="306">
        <v>210</v>
      </c>
      <c r="B805" s="306" t="str">
        <f t="shared" si="91"/>
        <v>3075-210</v>
      </c>
      <c r="C805" s="307" t="s">
        <v>1852</v>
      </c>
      <c r="D805" s="308" t="s">
        <v>1853</v>
      </c>
      <c r="E805" s="308" t="s">
        <v>2119</v>
      </c>
      <c r="F805" s="307" t="s">
        <v>1880</v>
      </c>
      <c r="G805" s="327" t="s">
        <v>1881</v>
      </c>
      <c r="H805" s="310" t="s">
        <v>2120</v>
      </c>
      <c r="I805" s="308" t="s">
        <v>1858</v>
      </c>
      <c r="J805" s="308" t="s">
        <v>1859</v>
      </c>
      <c r="K805" s="308" t="s">
        <v>63</v>
      </c>
      <c r="L805" s="306" t="s">
        <v>1860</v>
      </c>
      <c r="M805" s="306" t="s">
        <v>59</v>
      </c>
      <c r="N805" s="306" t="s">
        <v>60</v>
      </c>
      <c r="O805" s="308" t="s">
        <v>1910</v>
      </c>
      <c r="P805" s="306" t="s">
        <v>2419</v>
      </c>
      <c r="Q805" s="315">
        <v>54686940</v>
      </c>
      <c r="R805" s="333">
        <v>1</v>
      </c>
      <c r="S805" s="312">
        <v>54686940</v>
      </c>
      <c r="T805" s="306" t="s">
        <v>1876</v>
      </c>
      <c r="U805" s="306" t="s">
        <v>1876</v>
      </c>
      <c r="V805" s="313" t="s">
        <v>308</v>
      </c>
      <c r="W805" s="314" t="s">
        <v>63</v>
      </c>
      <c r="X805" s="334" t="s">
        <v>2420</v>
      </c>
      <c r="Y805" s="313">
        <v>43109</v>
      </c>
      <c r="Z805" s="315">
        <v>54686940</v>
      </c>
      <c r="AA805" s="316" t="s">
        <v>2402</v>
      </c>
      <c r="AB805" s="317">
        <v>427</v>
      </c>
      <c r="AC805" s="313">
        <v>43111</v>
      </c>
      <c r="AD805" s="312">
        <v>54686940</v>
      </c>
      <c r="AE805" s="318">
        <f t="shared" si="92"/>
        <v>0</v>
      </c>
      <c r="AF805" s="317">
        <v>305</v>
      </c>
      <c r="AG805" s="313">
        <v>43122</v>
      </c>
      <c r="AH805" s="312">
        <v>54686940</v>
      </c>
      <c r="AI805" s="306" t="s">
        <v>2421</v>
      </c>
      <c r="AJ805" s="306">
        <v>36</v>
      </c>
      <c r="AK805" s="318">
        <f t="shared" si="95"/>
        <v>0</v>
      </c>
      <c r="AL805" s="312">
        <f t="shared" si="90"/>
        <v>54686940</v>
      </c>
      <c r="AM805" s="312">
        <f t="shared" si="93"/>
        <v>0</v>
      </c>
      <c r="AN805" s="306" t="s">
        <v>1863</v>
      </c>
      <c r="AO805" s="312">
        <f t="shared" si="94"/>
        <v>0</v>
      </c>
      <c r="AP805" s="306"/>
      <c r="AQ805" s="306"/>
      <c r="AR805" s="306"/>
      <c r="AS805" s="306"/>
      <c r="AT805" s="306"/>
    </row>
    <row r="806" spans="1:46" ht="76.5" x14ac:dyDescent="0.25">
      <c r="A806" s="306">
        <v>211</v>
      </c>
      <c r="B806" s="306" t="str">
        <f t="shared" si="91"/>
        <v>3075-211</v>
      </c>
      <c r="C806" s="307" t="s">
        <v>1852</v>
      </c>
      <c r="D806" s="308" t="s">
        <v>1853</v>
      </c>
      <c r="E806" s="308" t="s">
        <v>2119</v>
      </c>
      <c r="F806" s="307" t="s">
        <v>1880</v>
      </c>
      <c r="G806" s="327" t="s">
        <v>1881</v>
      </c>
      <c r="H806" s="310" t="s">
        <v>2120</v>
      </c>
      <c r="I806" s="308" t="s">
        <v>1858</v>
      </c>
      <c r="J806" s="308" t="s">
        <v>1859</v>
      </c>
      <c r="K806" s="308" t="s">
        <v>63</v>
      </c>
      <c r="L806" s="306" t="s">
        <v>1860</v>
      </c>
      <c r="M806" s="306" t="s">
        <v>59</v>
      </c>
      <c r="N806" s="306" t="s">
        <v>60</v>
      </c>
      <c r="O806" s="308" t="s">
        <v>1910</v>
      </c>
      <c r="P806" s="306" t="s">
        <v>2422</v>
      </c>
      <c r="Q806" s="315">
        <v>54686940</v>
      </c>
      <c r="R806" s="333">
        <v>1</v>
      </c>
      <c r="S806" s="312">
        <v>54686940</v>
      </c>
      <c r="T806" s="306" t="s">
        <v>1876</v>
      </c>
      <c r="U806" s="306" t="s">
        <v>1876</v>
      </c>
      <c r="V806" s="313" t="s">
        <v>308</v>
      </c>
      <c r="W806" s="314" t="s">
        <v>63</v>
      </c>
      <c r="X806" s="334" t="s">
        <v>2423</v>
      </c>
      <c r="Y806" s="313">
        <v>43109</v>
      </c>
      <c r="Z806" s="315">
        <v>54686940</v>
      </c>
      <c r="AA806" s="316" t="s">
        <v>2402</v>
      </c>
      <c r="AB806" s="317">
        <v>373</v>
      </c>
      <c r="AC806" s="313">
        <v>43110</v>
      </c>
      <c r="AD806" s="312">
        <v>54686940</v>
      </c>
      <c r="AE806" s="318">
        <f t="shared" si="92"/>
        <v>0</v>
      </c>
      <c r="AF806" s="317">
        <v>422</v>
      </c>
      <c r="AG806" s="313">
        <v>43124</v>
      </c>
      <c r="AH806" s="312">
        <v>54686940</v>
      </c>
      <c r="AI806" s="306" t="s">
        <v>2424</v>
      </c>
      <c r="AJ806" s="306">
        <v>100</v>
      </c>
      <c r="AK806" s="318">
        <f t="shared" si="95"/>
        <v>0</v>
      </c>
      <c r="AL806" s="312">
        <f t="shared" si="90"/>
        <v>54686940</v>
      </c>
      <c r="AM806" s="312">
        <f t="shared" si="93"/>
        <v>0</v>
      </c>
      <c r="AN806" s="306" t="s">
        <v>1863</v>
      </c>
      <c r="AO806" s="312">
        <f t="shared" si="94"/>
        <v>0</v>
      </c>
      <c r="AP806" s="306"/>
      <c r="AQ806" s="306"/>
      <c r="AR806" s="306"/>
      <c r="AS806" s="306"/>
      <c r="AT806" s="306"/>
    </row>
    <row r="807" spans="1:46" ht="76.5" x14ac:dyDescent="0.25">
      <c r="A807" s="306">
        <v>212</v>
      </c>
      <c r="B807" s="306" t="str">
        <f t="shared" si="91"/>
        <v>3075-212</v>
      </c>
      <c r="C807" s="307" t="s">
        <v>1852</v>
      </c>
      <c r="D807" s="308" t="s">
        <v>1853</v>
      </c>
      <c r="E807" s="308" t="s">
        <v>2119</v>
      </c>
      <c r="F807" s="307" t="s">
        <v>1880</v>
      </c>
      <c r="G807" s="327" t="s">
        <v>1881</v>
      </c>
      <c r="H807" s="310" t="s">
        <v>2120</v>
      </c>
      <c r="I807" s="308" t="s">
        <v>1858</v>
      </c>
      <c r="J807" s="308" t="s">
        <v>1859</v>
      </c>
      <c r="K807" s="308" t="s">
        <v>63</v>
      </c>
      <c r="L807" s="306" t="s">
        <v>1860</v>
      </c>
      <c r="M807" s="306" t="s">
        <v>59</v>
      </c>
      <c r="N807" s="306" t="s">
        <v>60</v>
      </c>
      <c r="O807" s="308" t="s">
        <v>1910</v>
      </c>
      <c r="P807" s="306" t="s">
        <v>2425</v>
      </c>
      <c r="Q807" s="315">
        <v>54686940</v>
      </c>
      <c r="R807" s="333">
        <v>1</v>
      </c>
      <c r="S807" s="312">
        <v>54686940</v>
      </c>
      <c r="T807" s="306" t="s">
        <v>1876</v>
      </c>
      <c r="U807" s="306" t="s">
        <v>1876</v>
      </c>
      <c r="V807" s="313" t="s">
        <v>308</v>
      </c>
      <c r="W807" s="314" t="s">
        <v>63</v>
      </c>
      <c r="X807" s="334" t="s">
        <v>2426</v>
      </c>
      <c r="Y807" s="313">
        <v>43109</v>
      </c>
      <c r="Z807" s="315">
        <v>54686940</v>
      </c>
      <c r="AA807" s="316" t="s">
        <v>2402</v>
      </c>
      <c r="AB807" s="317">
        <v>378</v>
      </c>
      <c r="AC807" s="313">
        <v>43110</v>
      </c>
      <c r="AD807" s="312">
        <v>54686940</v>
      </c>
      <c r="AE807" s="318">
        <f t="shared" si="92"/>
        <v>0</v>
      </c>
      <c r="AF807" s="317">
        <v>424</v>
      </c>
      <c r="AG807" s="313">
        <v>43124</v>
      </c>
      <c r="AH807" s="312">
        <v>54686940</v>
      </c>
      <c r="AI807" s="306" t="s">
        <v>2427</v>
      </c>
      <c r="AJ807" s="306">
        <v>101</v>
      </c>
      <c r="AK807" s="318">
        <f t="shared" si="95"/>
        <v>0</v>
      </c>
      <c r="AL807" s="312">
        <f t="shared" si="90"/>
        <v>54686940</v>
      </c>
      <c r="AM807" s="312">
        <f t="shared" si="93"/>
        <v>0</v>
      </c>
      <c r="AN807" s="306" t="s">
        <v>1863</v>
      </c>
      <c r="AO807" s="312">
        <f t="shared" si="94"/>
        <v>0</v>
      </c>
      <c r="AP807" s="306"/>
      <c r="AQ807" s="306"/>
      <c r="AR807" s="306"/>
      <c r="AS807" s="306"/>
      <c r="AT807" s="306"/>
    </row>
    <row r="808" spans="1:46" ht="76.5" x14ac:dyDescent="0.25">
      <c r="A808" s="306">
        <v>213</v>
      </c>
      <c r="B808" s="306" t="str">
        <f t="shared" si="91"/>
        <v>3075-213</v>
      </c>
      <c r="C808" s="307" t="s">
        <v>1852</v>
      </c>
      <c r="D808" s="308" t="s">
        <v>1853</v>
      </c>
      <c r="E808" s="308" t="s">
        <v>2119</v>
      </c>
      <c r="F808" s="307" t="s">
        <v>1880</v>
      </c>
      <c r="G808" s="327" t="s">
        <v>1881</v>
      </c>
      <c r="H808" s="310" t="s">
        <v>2120</v>
      </c>
      <c r="I808" s="308" t="s">
        <v>1858</v>
      </c>
      <c r="J808" s="308" t="s">
        <v>1859</v>
      </c>
      <c r="K808" s="308" t="s">
        <v>63</v>
      </c>
      <c r="L808" s="306" t="s">
        <v>1860</v>
      </c>
      <c r="M808" s="306" t="s">
        <v>59</v>
      </c>
      <c r="N808" s="306" t="s">
        <v>60</v>
      </c>
      <c r="O808" s="308" t="s">
        <v>1910</v>
      </c>
      <c r="P808" s="306" t="s">
        <v>2428</v>
      </c>
      <c r="Q808" s="315">
        <v>54686940</v>
      </c>
      <c r="R808" s="333">
        <v>1</v>
      </c>
      <c r="S808" s="312">
        <v>54686940</v>
      </c>
      <c r="T808" s="306" t="s">
        <v>1876</v>
      </c>
      <c r="U808" s="306" t="s">
        <v>1876</v>
      </c>
      <c r="V808" s="313" t="s">
        <v>308</v>
      </c>
      <c r="W808" s="314" t="s">
        <v>63</v>
      </c>
      <c r="X808" s="334" t="s">
        <v>2429</v>
      </c>
      <c r="Y808" s="313">
        <v>43111</v>
      </c>
      <c r="Z808" s="315">
        <v>54686940</v>
      </c>
      <c r="AA808" s="316" t="s">
        <v>2402</v>
      </c>
      <c r="AB808" s="317">
        <v>474</v>
      </c>
      <c r="AC808" s="313">
        <v>43112</v>
      </c>
      <c r="AD808" s="312">
        <v>54686940</v>
      </c>
      <c r="AE808" s="318">
        <f t="shared" si="92"/>
        <v>0</v>
      </c>
      <c r="AF808" s="317">
        <v>510</v>
      </c>
      <c r="AG808" s="313">
        <v>43129</v>
      </c>
      <c r="AH808" s="312">
        <v>54686940</v>
      </c>
      <c r="AI808" s="306" t="s">
        <v>2430</v>
      </c>
      <c r="AJ808" s="306">
        <v>203</v>
      </c>
      <c r="AK808" s="318">
        <f t="shared" si="95"/>
        <v>0</v>
      </c>
      <c r="AL808" s="312">
        <f t="shared" si="90"/>
        <v>54686940</v>
      </c>
      <c r="AM808" s="312">
        <f t="shared" si="93"/>
        <v>0</v>
      </c>
      <c r="AN808" s="306" t="s">
        <v>1863</v>
      </c>
      <c r="AO808" s="312">
        <f t="shared" si="94"/>
        <v>0</v>
      </c>
      <c r="AP808" s="306"/>
      <c r="AQ808" s="306"/>
      <c r="AR808" s="306"/>
      <c r="AS808" s="306"/>
      <c r="AT808" s="306"/>
    </row>
    <row r="809" spans="1:46" ht="76.5" x14ac:dyDescent="0.25">
      <c r="A809" s="306">
        <v>214</v>
      </c>
      <c r="B809" s="306" t="str">
        <f t="shared" si="91"/>
        <v>3075-214</v>
      </c>
      <c r="C809" s="307" t="s">
        <v>1852</v>
      </c>
      <c r="D809" s="308" t="s">
        <v>1853</v>
      </c>
      <c r="E809" s="308" t="s">
        <v>2119</v>
      </c>
      <c r="F809" s="307" t="s">
        <v>1880</v>
      </c>
      <c r="G809" s="327" t="s">
        <v>1881</v>
      </c>
      <c r="H809" s="310" t="s">
        <v>2120</v>
      </c>
      <c r="I809" s="308" t="s">
        <v>1858</v>
      </c>
      <c r="J809" s="308" t="s">
        <v>1859</v>
      </c>
      <c r="K809" s="308" t="s">
        <v>63</v>
      </c>
      <c r="L809" s="306" t="s">
        <v>1860</v>
      </c>
      <c r="M809" s="306" t="s">
        <v>59</v>
      </c>
      <c r="N809" s="306" t="s">
        <v>60</v>
      </c>
      <c r="O809" s="308" t="s">
        <v>1910</v>
      </c>
      <c r="P809" s="306" t="s">
        <v>2431</v>
      </c>
      <c r="Q809" s="315">
        <v>54686940</v>
      </c>
      <c r="R809" s="333">
        <v>1</v>
      </c>
      <c r="S809" s="312">
        <v>54686940</v>
      </c>
      <c r="T809" s="306" t="s">
        <v>1876</v>
      </c>
      <c r="U809" s="306" t="s">
        <v>1876</v>
      </c>
      <c r="V809" s="313" t="s">
        <v>411</v>
      </c>
      <c r="W809" s="314" t="s">
        <v>63</v>
      </c>
      <c r="X809" s="334" t="s">
        <v>2432</v>
      </c>
      <c r="Y809" s="313">
        <v>43111</v>
      </c>
      <c r="Z809" s="315">
        <v>54686940</v>
      </c>
      <c r="AA809" s="316" t="s">
        <v>2402</v>
      </c>
      <c r="AB809" s="317">
        <v>475</v>
      </c>
      <c r="AC809" s="313">
        <v>43112</v>
      </c>
      <c r="AD809" s="312">
        <v>54686940</v>
      </c>
      <c r="AE809" s="318">
        <f t="shared" si="92"/>
        <v>0</v>
      </c>
      <c r="AF809" s="317">
        <v>522</v>
      </c>
      <c r="AG809" s="313">
        <v>43132</v>
      </c>
      <c r="AH809" s="312">
        <v>54686940</v>
      </c>
      <c r="AI809" s="306" t="s">
        <v>2433</v>
      </c>
      <c r="AJ809" s="306">
        <v>339</v>
      </c>
      <c r="AK809" s="318">
        <f t="shared" si="95"/>
        <v>0</v>
      </c>
      <c r="AL809" s="312">
        <f t="shared" si="90"/>
        <v>54686940</v>
      </c>
      <c r="AM809" s="312">
        <f t="shared" si="93"/>
        <v>0</v>
      </c>
      <c r="AN809" s="306" t="s">
        <v>1863</v>
      </c>
      <c r="AO809" s="312">
        <f t="shared" si="94"/>
        <v>0</v>
      </c>
      <c r="AP809" s="306"/>
      <c r="AQ809" s="306"/>
      <c r="AR809" s="306"/>
      <c r="AS809" s="306"/>
      <c r="AT809" s="306"/>
    </row>
    <row r="810" spans="1:46" ht="76.5" x14ac:dyDescent="0.25">
      <c r="A810" s="306">
        <v>215</v>
      </c>
      <c r="B810" s="306" t="str">
        <f t="shared" si="91"/>
        <v>3075-215</v>
      </c>
      <c r="C810" s="307" t="s">
        <v>1852</v>
      </c>
      <c r="D810" s="308" t="s">
        <v>1853</v>
      </c>
      <c r="E810" s="308" t="s">
        <v>2119</v>
      </c>
      <c r="F810" s="307" t="s">
        <v>1880</v>
      </c>
      <c r="G810" s="327" t="s">
        <v>1881</v>
      </c>
      <c r="H810" s="310" t="s">
        <v>2120</v>
      </c>
      <c r="I810" s="308" t="s">
        <v>1858</v>
      </c>
      <c r="J810" s="308" t="s">
        <v>1859</v>
      </c>
      <c r="K810" s="308" t="s">
        <v>63</v>
      </c>
      <c r="L810" s="306" t="s">
        <v>1860</v>
      </c>
      <c r="M810" s="306" t="s">
        <v>59</v>
      </c>
      <c r="N810" s="306" t="s">
        <v>60</v>
      </c>
      <c r="O810" s="308" t="s">
        <v>1910</v>
      </c>
      <c r="P810" s="306" t="s">
        <v>2434</v>
      </c>
      <c r="Q810" s="315">
        <v>54686940</v>
      </c>
      <c r="R810" s="333">
        <v>1</v>
      </c>
      <c r="S810" s="312">
        <v>54686940</v>
      </c>
      <c r="T810" s="306" t="s">
        <v>1876</v>
      </c>
      <c r="U810" s="306" t="s">
        <v>1876</v>
      </c>
      <c r="V810" s="313" t="s">
        <v>411</v>
      </c>
      <c r="W810" s="314" t="s">
        <v>63</v>
      </c>
      <c r="X810" s="334" t="s">
        <v>2435</v>
      </c>
      <c r="Y810" s="313">
        <v>43111</v>
      </c>
      <c r="Z810" s="315">
        <v>54686940</v>
      </c>
      <c r="AA810" s="316" t="s">
        <v>2402</v>
      </c>
      <c r="AB810" s="317">
        <v>478</v>
      </c>
      <c r="AC810" s="313">
        <v>43112</v>
      </c>
      <c r="AD810" s="312">
        <v>54686940</v>
      </c>
      <c r="AE810" s="318">
        <f t="shared" si="92"/>
        <v>0</v>
      </c>
      <c r="AF810" s="317">
        <v>520</v>
      </c>
      <c r="AG810" s="313">
        <v>43132</v>
      </c>
      <c r="AH810" s="312">
        <v>54686940</v>
      </c>
      <c r="AI810" s="306" t="s">
        <v>2436</v>
      </c>
      <c r="AJ810" s="306">
        <v>335</v>
      </c>
      <c r="AK810" s="318">
        <f t="shared" si="95"/>
        <v>0</v>
      </c>
      <c r="AL810" s="312">
        <f t="shared" si="90"/>
        <v>54686940</v>
      </c>
      <c r="AM810" s="312">
        <f t="shared" si="93"/>
        <v>0</v>
      </c>
      <c r="AN810" s="306" t="s">
        <v>1863</v>
      </c>
      <c r="AO810" s="312">
        <f t="shared" si="94"/>
        <v>0</v>
      </c>
      <c r="AP810" s="306"/>
      <c r="AQ810" s="306"/>
      <c r="AR810" s="306"/>
      <c r="AS810" s="306"/>
      <c r="AT810" s="306"/>
    </row>
    <row r="811" spans="1:46" ht="76.5" x14ac:dyDescent="0.25">
      <c r="A811" s="306">
        <v>216</v>
      </c>
      <c r="B811" s="306" t="str">
        <f t="shared" si="91"/>
        <v>3075-216</v>
      </c>
      <c r="C811" s="307" t="s">
        <v>1852</v>
      </c>
      <c r="D811" s="308" t="s">
        <v>1853</v>
      </c>
      <c r="E811" s="308" t="s">
        <v>2119</v>
      </c>
      <c r="F811" s="307" t="s">
        <v>1880</v>
      </c>
      <c r="G811" s="327" t="s">
        <v>1881</v>
      </c>
      <c r="H811" s="310" t="s">
        <v>2120</v>
      </c>
      <c r="I811" s="308" t="s">
        <v>1858</v>
      </c>
      <c r="J811" s="308" t="s">
        <v>1859</v>
      </c>
      <c r="K811" s="308" t="s">
        <v>63</v>
      </c>
      <c r="L811" s="306" t="s">
        <v>1860</v>
      </c>
      <c r="M811" s="306" t="s">
        <v>59</v>
      </c>
      <c r="N811" s="306" t="s">
        <v>60</v>
      </c>
      <c r="O811" s="308" t="s">
        <v>1910</v>
      </c>
      <c r="P811" s="306" t="s">
        <v>2437</v>
      </c>
      <c r="Q811" s="315">
        <v>54686940</v>
      </c>
      <c r="R811" s="333">
        <v>1</v>
      </c>
      <c r="S811" s="312">
        <v>54686940</v>
      </c>
      <c r="T811" s="306" t="s">
        <v>1876</v>
      </c>
      <c r="U811" s="306" t="s">
        <v>1876</v>
      </c>
      <c r="V811" s="313" t="s">
        <v>308</v>
      </c>
      <c r="W811" s="314" t="s">
        <v>63</v>
      </c>
      <c r="X811" s="334" t="s">
        <v>2438</v>
      </c>
      <c r="Y811" s="313">
        <v>43111</v>
      </c>
      <c r="Z811" s="315">
        <v>54686940</v>
      </c>
      <c r="AA811" s="316" t="s">
        <v>2402</v>
      </c>
      <c r="AB811" s="317">
        <v>477</v>
      </c>
      <c r="AC811" s="313">
        <v>43112</v>
      </c>
      <c r="AD811" s="312">
        <v>54686940</v>
      </c>
      <c r="AE811" s="318">
        <f t="shared" si="92"/>
        <v>0</v>
      </c>
      <c r="AF811" s="317">
        <v>513</v>
      </c>
      <c r="AG811" s="313">
        <v>43129</v>
      </c>
      <c r="AH811" s="312">
        <v>54686940</v>
      </c>
      <c r="AI811" s="306" t="s">
        <v>2439</v>
      </c>
      <c r="AJ811" s="306">
        <v>204</v>
      </c>
      <c r="AK811" s="318">
        <f t="shared" si="95"/>
        <v>0</v>
      </c>
      <c r="AL811" s="312">
        <f t="shared" si="90"/>
        <v>54686940</v>
      </c>
      <c r="AM811" s="312">
        <f t="shared" si="93"/>
        <v>0</v>
      </c>
      <c r="AN811" s="306" t="s">
        <v>1863</v>
      </c>
      <c r="AO811" s="312">
        <f t="shared" si="94"/>
        <v>0</v>
      </c>
      <c r="AP811" s="306"/>
      <c r="AQ811" s="306"/>
      <c r="AR811" s="306"/>
      <c r="AS811" s="306"/>
      <c r="AT811" s="306"/>
    </row>
    <row r="812" spans="1:46" ht="63.75" x14ac:dyDescent="0.25">
      <c r="A812" s="306">
        <v>217</v>
      </c>
      <c r="B812" s="306" t="str">
        <f t="shared" si="91"/>
        <v>3075-217</v>
      </c>
      <c r="C812" s="307" t="s">
        <v>1852</v>
      </c>
      <c r="D812" s="308" t="s">
        <v>1853</v>
      </c>
      <c r="E812" s="307" t="s">
        <v>1870</v>
      </c>
      <c r="F812" s="307" t="s">
        <v>1871</v>
      </c>
      <c r="G812" s="309" t="s">
        <v>1872</v>
      </c>
      <c r="H812" s="310" t="s">
        <v>1873</v>
      </c>
      <c r="I812" s="308" t="s">
        <v>1858</v>
      </c>
      <c r="J812" s="308" t="s">
        <v>1859</v>
      </c>
      <c r="K812" s="308" t="s">
        <v>63</v>
      </c>
      <c r="L812" s="306" t="s">
        <v>1860</v>
      </c>
      <c r="M812" s="306" t="s">
        <v>59</v>
      </c>
      <c r="N812" s="306" t="s">
        <v>60</v>
      </c>
      <c r="O812" s="308" t="s">
        <v>1874</v>
      </c>
      <c r="P812" s="322" t="s">
        <v>2440</v>
      </c>
      <c r="Q812" s="311">
        <v>24984000</v>
      </c>
      <c r="R812" s="306">
        <v>1</v>
      </c>
      <c r="S812" s="312">
        <v>24984000</v>
      </c>
      <c r="T812" s="306" t="s">
        <v>1876</v>
      </c>
      <c r="U812" s="306" t="s">
        <v>1876</v>
      </c>
      <c r="V812" s="313" t="s">
        <v>302</v>
      </c>
      <c r="W812" s="314" t="s">
        <v>63</v>
      </c>
      <c r="X812" s="334" t="s">
        <v>2441</v>
      </c>
      <c r="Y812" s="313">
        <v>43111</v>
      </c>
      <c r="Z812" s="315">
        <v>24984000</v>
      </c>
      <c r="AA812" s="316" t="s">
        <v>2442</v>
      </c>
      <c r="AB812" s="317">
        <v>476</v>
      </c>
      <c r="AC812" s="313">
        <v>43112</v>
      </c>
      <c r="AD812" s="312">
        <v>24984000</v>
      </c>
      <c r="AE812" s="318">
        <f t="shared" si="92"/>
        <v>0</v>
      </c>
      <c r="AF812" s="317">
        <v>1664</v>
      </c>
      <c r="AG812" s="313">
        <v>43192</v>
      </c>
      <c r="AH812" s="312">
        <v>24984000</v>
      </c>
      <c r="AI812" s="306" t="s">
        <v>2443</v>
      </c>
      <c r="AJ812" s="306">
        <v>1689</v>
      </c>
      <c r="AK812" s="318">
        <f t="shared" si="95"/>
        <v>0</v>
      </c>
      <c r="AL812" s="312">
        <f t="shared" si="90"/>
        <v>0</v>
      </c>
      <c r="AM812" s="312">
        <f t="shared" si="93"/>
        <v>24984000</v>
      </c>
      <c r="AN812" s="306" t="s">
        <v>1863</v>
      </c>
      <c r="AO812" s="312">
        <f t="shared" si="94"/>
        <v>0</v>
      </c>
      <c r="AP812" s="306"/>
      <c r="AQ812" s="306"/>
      <c r="AR812" s="306"/>
      <c r="AS812" s="306"/>
      <c r="AT812" s="306"/>
    </row>
    <row r="813" spans="1:46" ht="63.75" x14ac:dyDescent="0.25">
      <c r="A813" s="306">
        <v>218</v>
      </c>
      <c r="B813" s="306" t="str">
        <f t="shared" si="91"/>
        <v>3075-218</v>
      </c>
      <c r="C813" s="307" t="s">
        <v>1852</v>
      </c>
      <c r="D813" s="308" t="s">
        <v>1853</v>
      </c>
      <c r="E813" s="308" t="s">
        <v>1879</v>
      </c>
      <c r="F813" s="307" t="s">
        <v>1880</v>
      </c>
      <c r="G813" s="309" t="s">
        <v>1881</v>
      </c>
      <c r="H813" s="310" t="s">
        <v>1882</v>
      </c>
      <c r="I813" s="308" t="s">
        <v>1858</v>
      </c>
      <c r="J813" s="308" t="s">
        <v>1859</v>
      </c>
      <c r="K813" s="308" t="s">
        <v>63</v>
      </c>
      <c r="L813" s="306" t="s">
        <v>1860</v>
      </c>
      <c r="M813" s="306" t="s">
        <v>59</v>
      </c>
      <c r="N813" s="306" t="s">
        <v>60</v>
      </c>
      <c r="O813" s="308" t="s">
        <v>1874</v>
      </c>
      <c r="P813" s="308" t="s">
        <v>2444</v>
      </c>
      <c r="Q813" s="311">
        <v>39062100</v>
      </c>
      <c r="R813" s="306">
        <v>1</v>
      </c>
      <c r="S813" s="312">
        <v>39062100</v>
      </c>
      <c r="T813" s="306" t="s">
        <v>1876</v>
      </c>
      <c r="U813" s="306" t="s">
        <v>1876</v>
      </c>
      <c r="V813" s="313" t="s">
        <v>411</v>
      </c>
      <c r="W813" s="314" t="s">
        <v>63</v>
      </c>
      <c r="X813" s="334" t="s">
        <v>2445</v>
      </c>
      <c r="Y813" s="313">
        <v>43111</v>
      </c>
      <c r="Z813" s="315">
        <v>39062100</v>
      </c>
      <c r="AA813" s="316" t="s">
        <v>2446</v>
      </c>
      <c r="AB813" s="317">
        <v>481</v>
      </c>
      <c r="AC813" s="313">
        <v>43112</v>
      </c>
      <c r="AD813" s="312">
        <v>39062100</v>
      </c>
      <c r="AE813" s="318">
        <f t="shared" si="92"/>
        <v>0</v>
      </c>
      <c r="AF813" s="317">
        <v>1013</v>
      </c>
      <c r="AG813" s="313">
        <v>43140</v>
      </c>
      <c r="AH813" s="312">
        <v>39062100</v>
      </c>
      <c r="AI813" s="306" t="s">
        <v>2447</v>
      </c>
      <c r="AJ813" s="306">
        <v>883</v>
      </c>
      <c r="AK813" s="318">
        <f t="shared" si="95"/>
        <v>0</v>
      </c>
      <c r="AL813" s="312">
        <f t="shared" si="90"/>
        <v>39062100</v>
      </c>
      <c r="AM813" s="312">
        <f t="shared" si="93"/>
        <v>0</v>
      </c>
      <c r="AN813" s="306" t="s">
        <v>1863</v>
      </c>
      <c r="AO813" s="312">
        <f t="shared" si="94"/>
        <v>0</v>
      </c>
      <c r="AP813" s="306"/>
      <c r="AQ813" s="306"/>
      <c r="AR813" s="306"/>
      <c r="AS813" s="306"/>
      <c r="AT813" s="306"/>
    </row>
    <row r="814" spans="1:46" ht="63.75" x14ac:dyDescent="0.25">
      <c r="A814" s="306">
        <v>219</v>
      </c>
      <c r="B814" s="306" t="str">
        <f t="shared" si="91"/>
        <v>3075-219</v>
      </c>
      <c r="C814" s="307" t="s">
        <v>1852</v>
      </c>
      <c r="D814" s="308" t="s">
        <v>1853</v>
      </c>
      <c r="E814" s="308" t="s">
        <v>1879</v>
      </c>
      <c r="F814" s="307" t="s">
        <v>1880</v>
      </c>
      <c r="G814" s="309" t="s">
        <v>1881</v>
      </c>
      <c r="H814" s="310" t="s">
        <v>1882</v>
      </c>
      <c r="I814" s="308" t="s">
        <v>1858</v>
      </c>
      <c r="J814" s="308" t="s">
        <v>1859</v>
      </c>
      <c r="K814" s="308" t="s">
        <v>63</v>
      </c>
      <c r="L814" s="306" t="s">
        <v>1860</v>
      </c>
      <c r="M814" s="306" t="s">
        <v>59</v>
      </c>
      <c r="N814" s="306" t="s">
        <v>60</v>
      </c>
      <c r="O814" s="308" t="s">
        <v>1874</v>
      </c>
      <c r="P814" s="308" t="s">
        <v>2448</v>
      </c>
      <c r="Q814" s="311">
        <v>39062100</v>
      </c>
      <c r="R814" s="306">
        <v>1</v>
      </c>
      <c r="S814" s="312">
        <v>39062100</v>
      </c>
      <c r="T814" s="306" t="s">
        <v>1876</v>
      </c>
      <c r="U814" s="306" t="s">
        <v>1876</v>
      </c>
      <c r="V814" s="313" t="s">
        <v>411</v>
      </c>
      <c r="W814" s="314" t="s">
        <v>63</v>
      </c>
      <c r="X814" s="334" t="s">
        <v>2449</v>
      </c>
      <c r="Y814" s="313">
        <v>43111</v>
      </c>
      <c r="Z814" s="315">
        <v>39062100</v>
      </c>
      <c r="AA814" s="316" t="s">
        <v>2446</v>
      </c>
      <c r="AB814" s="317">
        <v>482</v>
      </c>
      <c r="AC814" s="313">
        <v>43112</v>
      </c>
      <c r="AD814" s="312">
        <v>39062100</v>
      </c>
      <c r="AE814" s="318">
        <f t="shared" si="92"/>
        <v>0</v>
      </c>
      <c r="AF814" s="317">
        <v>1027</v>
      </c>
      <c r="AG814" s="313">
        <v>43140</v>
      </c>
      <c r="AH814" s="312">
        <v>39062100</v>
      </c>
      <c r="AI814" s="306" t="s">
        <v>2450</v>
      </c>
      <c r="AJ814" s="306">
        <v>757</v>
      </c>
      <c r="AK814" s="318">
        <f t="shared" si="95"/>
        <v>0</v>
      </c>
      <c r="AL814" s="312">
        <f t="shared" si="90"/>
        <v>0</v>
      </c>
      <c r="AM814" s="312">
        <f t="shared" si="93"/>
        <v>39062100</v>
      </c>
      <c r="AN814" s="306" t="s">
        <v>1863</v>
      </c>
      <c r="AO814" s="312">
        <f t="shared" si="94"/>
        <v>0</v>
      </c>
      <c r="AP814" s="306"/>
      <c r="AQ814" s="306"/>
      <c r="AR814" s="306"/>
      <c r="AS814" s="306"/>
      <c r="AT814" s="306"/>
    </row>
    <row r="815" spans="1:46" ht="63.75" x14ac:dyDescent="0.25">
      <c r="A815" s="306">
        <v>220</v>
      </c>
      <c r="B815" s="306" t="str">
        <f t="shared" si="91"/>
        <v>3075-220</v>
      </c>
      <c r="C815" s="307" t="s">
        <v>1852</v>
      </c>
      <c r="D815" s="308" t="s">
        <v>1853</v>
      </c>
      <c r="E815" s="308" t="s">
        <v>1879</v>
      </c>
      <c r="F815" s="307" t="s">
        <v>1880</v>
      </c>
      <c r="G815" s="309" t="s">
        <v>1881</v>
      </c>
      <c r="H815" s="310" t="s">
        <v>1882</v>
      </c>
      <c r="I815" s="308" t="s">
        <v>1858</v>
      </c>
      <c r="J815" s="308" t="s">
        <v>1859</v>
      </c>
      <c r="K815" s="308" t="s">
        <v>63</v>
      </c>
      <c r="L815" s="306" t="s">
        <v>1860</v>
      </c>
      <c r="M815" s="306" t="s">
        <v>59</v>
      </c>
      <c r="N815" s="306" t="s">
        <v>60</v>
      </c>
      <c r="O815" s="308" t="s">
        <v>1874</v>
      </c>
      <c r="P815" s="308" t="s">
        <v>2451</v>
      </c>
      <c r="Q815" s="311">
        <v>420100300</v>
      </c>
      <c r="R815" s="306">
        <v>1</v>
      </c>
      <c r="S815" s="312">
        <v>420100300</v>
      </c>
      <c r="T815" s="306" t="s">
        <v>1876</v>
      </c>
      <c r="U815" s="306" t="s">
        <v>1876</v>
      </c>
      <c r="V815" s="313" t="s">
        <v>294</v>
      </c>
      <c r="W815" s="314" t="s">
        <v>63</v>
      </c>
      <c r="X815" s="306" t="s">
        <v>2452</v>
      </c>
      <c r="Y815" s="313">
        <v>43115</v>
      </c>
      <c r="Z815" s="315">
        <v>420100300</v>
      </c>
      <c r="AA815" s="316" t="s">
        <v>2446</v>
      </c>
      <c r="AB815" s="317">
        <v>492</v>
      </c>
      <c r="AC815" s="313">
        <v>43116</v>
      </c>
      <c r="AD815" s="312">
        <v>420100300</v>
      </c>
      <c r="AE815" s="318">
        <f t="shared" si="92"/>
        <v>0</v>
      </c>
      <c r="AF815" s="317">
        <v>1496</v>
      </c>
      <c r="AG815" s="313">
        <v>43161</v>
      </c>
      <c r="AH815" s="312">
        <v>420100300</v>
      </c>
      <c r="AI815" s="306"/>
      <c r="AJ815" s="306"/>
      <c r="AK815" s="318">
        <f t="shared" si="95"/>
        <v>0</v>
      </c>
      <c r="AL815" s="312">
        <f t="shared" si="90"/>
        <v>420100300</v>
      </c>
      <c r="AM815" s="312">
        <f t="shared" si="93"/>
        <v>0</v>
      </c>
      <c r="AN815" s="306" t="s">
        <v>1863</v>
      </c>
      <c r="AO815" s="312">
        <f t="shared" si="94"/>
        <v>0</v>
      </c>
      <c r="AP815" s="306"/>
      <c r="AQ815" s="306"/>
      <c r="AR815" s="306"/>
      <c r="AS815" s="306"/>
      <c r="AT815" s="306"/>
    </row>
    <row r="816" spans="1:46" ht="63.75" x14ac:dyDescent="0.25">
      <c r="A816" s="306">
        <v>221</v>
      </c>
      <c r="B816" s="306" t="str">
        <f t="shared" si="91"/>
        <v>3075-221</v>
      </c>
      <c r="C816" s="307" t="s">
        <v>1852</v>
      </c>
      <c r="D816" s="308" t="s">
        <v>1853</v>
      </c>
      <c r="E816" s="308" t="s">
        <v>1879</v>
      </c>
      <c r="F816" s="307" t="s">
        <v>1880</v>
      </c>
      <c r="G816" s="309" t="s">
        <v>1881</v>
      </c>
      <c r="H816" s="310" t="s">
        <v>1882</v>
      </c>
      <c r="I816" s="308" t="s">
        <v>1858</v>
      </c>
      <c r="J816" s="308" t="s">
        <v>1859</v>
      </c>
      <c r="K816" s="308" t="s">
        <v>63</v>
      </c>
      <c r="L816" s="306" t="s">
        <v>1860</v>
      </c>
      <c r="M816" s="306" t="s">
        <v>59</v>
      </c>
      <c r="N816" s="306" t="s">
        <v>60</v>
      </c>
      <c r="O816" s="308" t="s">
        <v>1874</v>
      </c>
      <c r="P816" s="308" t="s">
        <v>2453</v>
      </c>
      <c r="Q816" s="311">
        <v>25211940</v>
      </c>
      <c r="R816" s="306">
        <v>1</v>
      </c>
      <c r="S816" s="312">
        <v>25211940</v>
      </c>
      <c r="T816" s="306" t="s">
        <v>1876</v>
      </c>
      <c r="U816" s="306" t="s">
        <v>1876</v>
      </c>
      <c r="V816" s="320" t="s">
        <v>302</v>
      </c>
      <c r="W816" s="314" t="s">
        <v>63</v>
      </c>
      <c r="X816" s="306" t="s">
        <v>2454</v>
      </c>
      <c r="Y816" s="313">
        <v>43115</v>
      </c>
      <c r="Z816" s="315">
        <v>25211940</v>
      </c>
      <c r="AA816" s="316" t="s">
        <v>2446</v>
      </c>
      <c r="AB816" s="317">
        <v>493</v>
      </c>
      <c r="AC816" s="313">
        <v>43116</v>
      </c>
      <c r="AD816" s="312">
        <v>25211940</v>
      </c>
      <c r="AE816" s="318">
        <f t="shared" si="92"/>
        <v>0</v>
      </c>
      <c r="AF816" s="317"/>
      <c r="AG816" s="313"/>
      <c r="AH816" s="312"/>
      <c r="AI816" s="306"/>
      <c r="AJ816" s="306"/>
      <c r="AK816" s="318">
        <f t="shared" si="95"/>
        <v>25211940</v>
      </c>
      <c r="AL816" s="312">
        <v>0</v>
      </c>
      <c r="AM816" s="312">
        <f t="shared" si="93"/>
        <v>0</v>
      </c>
      <c r="AN816" s="306" t="s">
        <v>1863</v>
      </c>
      <c r="AO816" s="312">
        <f t="shared" si="94"/>
        <v>25211940</v>
      </c>
      <c r="AP816" s="306"/>
      <c r="AQ816" s="306"/>
      <c r="AR816" s="306"/>
      <c r="AS816" s="306"/>
      <c r="AT816" s="306"/>
    </row>
    <row r="817" spans="1:46" ht="63.75" x14ac:dyDescent="0.25">
      <c r="A817" s="306">
        <v>222</v>
      </c>
      <c r="B817" s="306" t="str">
        <f t="shared" si="91"/>
        <v>3075-222</v>
      </c>
      <c r="C817" s="307" t="s">
        <v>1852</v>
      </c>
      <c r="D817" s="308" t="s">
        <v>1853</v>
      </c>
      <c r="E817" s="308" t="s">
        <v>1879</v>
      </c>
      <c r="F817" s="307" t="s">
        <v>1880</v>
      </c>
      <c r="G817" s="309" t="s">
        <v>1881</v>
      </c>
      <c r="H817" s="310" t="s">
        <v>1882</v>
      </c>
      <c r="I817" s="308" t="s">
        <v>1858</v>
      </c>
      <c r="J817" s="308" t="s">
        <v>1859</v>
      </c>
      <c r="K817" s="308" t="s">
        <v>63</v>
      </c>
      <c r="L817" s="306" t="s">
        <v>1860</v>
      </c>
      <c r="M817" s="306" t="s">
        <v>59</v>
      </c>
      <c r="N817" s="306" t="s">
        <v>60</v>
      </c>
      <c r="O817" s="308" t="s">
        <v>1874</v>
      </c>
      <c r="P817" s="308" t="s">
        <v>2455</v>
      </c>
      <c r="Q817" s="311">
        <v>30003100</v>
      </c>
      <c r="R817" s="306">
        <v>1</v>
      </c>
      <c r="S817" s="312">
        <v>30003100</v>
      </c>
      <c r="T817" s="306" t="s">
        <v>1876</v>
      </c>
      <c r="U817" s="306" t="s">
        <v>1876</v>
      </c>
      <c r="V817" s="313" t="s">
        <v>308</v>
      </c>
      <c r="W817" s="314" t="s">
        <v>63</v>
      </c>
      <c r="X817" s="306" t="s">
        <v>2456</v>
      </c>
      <c r="Y817" s="313">
        <v>43115</v>
      </c>
      <c r="Z817" s="315">
        <v>30003100</v>
      </c>
      <c r="AA817" s="316" t="s">
        <v>2446</v>
      </c>
      <c r="AB817" s="317">
        <v>494</v>
      </c>
      <c r="AC817" s="313">
        <v>43116</v>
      </c>
      <c r="AD817" s="312">
        <v>30003100</v>
      </c>
      <c r="AE817" s="318">
        <f t="shared" si="92"/>
        <v>0</v>
      </c>
      <c r="AF817" s="317">
        <v>515</v>
      </c>
      <c r="AG817" s="313">
        <v>43131</v>
      </c>
      <c r="AH817" s="312">
        <v>30003100</v>
      </c>
      <c r="AI817" s="306" t="s">
        <v>2457</v>
      </c>
      <c r="AJ817" s="306">
        <v>220</v>
      </c>
      <c r="AK817" s="318">
        <f t="shared" si="95"/>
        <v>0</v>
      </c>
      <c r="AL817" s="312">
        <f t="shared" ref="AL817:AL824" si="96">VLOOKUP(AB817,RP,13,FALSE)</f>
        <v>30003100</v>
      </c>
      <c r="AM817" s="312">
        <f t="shared" si="93"/>
        <v>0</v>
      </c>
      <c r="AN817" s="306" t="s">
        <v>1863</v>
      </c>
      <c r="AO817" s="312">
        <f t="shared" si="94"/>
        <v>0</v>
      </c>
      <c r="AP817" s="306"/>
      <c r="AQ817" s="306"/>
      <c r="AR817" s="306"/>
      <c r="AS817" s="306"/>
      <c r="AT817" s="306"/>
    </row>
    <row r="818" spans="1:46" ht="63.75" x14ac:dyDescent="0.25">
      <c r="A818" s="306">
        <v>223</v>
      </c>
      <c r="B818" s="306" t="str">
        <f t="shared" si="91"/>
        <v>3075-223</v>
      </c>
      <c r="C818" s="307" t="s">
        <v>1852</v>
      </c>
      <c r="D818" s="308" t="s">
        <v>1853</v>
      </c>
      <c r="E818" s="308" t="s">
        <v>1879</v>
      </c>
      <c r="F818" s="307" t="s">
        <v>1880</v>
      </c>
      <c r="G818" s="309" t="s">
        <v>1881</v>
      </c>
      <c r="H818" s="310" t="s">
        <v>1882</v>
      </c>
      <c r="I818" s="308" t="s">
        <v>1858</v>
      </c>
      <c r="J818" s="308" t="s">
        <v>1859</v>
      </c>
      <c r="K818" s="308" t="s">
        <v>63</v>
      </c>
      <c r="L818" s="306" t="s">
        <v>1860</v>
      </c>
      <c r="M818" s="306" t="s">
        <v>59</v>
      </c>
      <c r="N818" s="306" t="s">
        <v>60</v>
      </c>
      <c r="O818" s="308" t="s">
        <v>1874</v>
      </c>
      <c r="P818" s="308" t="s">
        <v>2458</v>
      </c>
      <c r="Q818" s="311">
        <v>39062100</v>
      </c>
      <c r="R818" s="306">
        <v>1</v>
      </c>
      <c r="S818" s="312">
        <v>39062100</v>
      </c>
      <c r="T818" s="306" t="s">
        <v>1876</v>
      </c>
      <c r="U818" s="306" t="s">
        <v>1876</v>
      </c>
      <c r="V818" s="313" t="s">
        <v>411</v>
      </c>
      <c r="W818" s="314" t="s">
        <v>63</v>
      </c>
      <c r="X818" s="306" t="s">
        <v>2459</v>
      </c>
      <c r="Y818" s="313">
        <v>43115</v>
      </c>
      <c r="Z818" s="315">
        <v>39062100</v>
      </c>
      <c r="AA818" s="316" t="s">
        <v>2446</v>
      </c>
      <c r="AB818" s="317">
        <v>496</v>
      </c>
      <c r="AC818" s="313">
        <v>43116</v>
      </c>
      <c r="AD818" s="312">
        <v>39062100</v>
      </c>
      <c r="AE818" s="318">
        <f t="shared" si="92"/>
        <v>0</v>
      </c>
      <c r="AF818" s="317">
        <v>1361</v>
      </c>
      <c r="AG818" s="313">
        <v>43146</v>
      </c>
      <c r="AH818" s="312">
        <v>39062100</v>
      </c>
      <c r="AI818" s="306" t="s">
        <v>2460</v>
      </c>
      <c r="AJ818" s="306">
        <v>1266</v>
      </c>
      <c r="AK818" s="318">
        <f t="shared" si="95"/>
        <v>0</v>
      </c>
      <c r="AL818" s="312">
        <f t="shared" si="96"/>
        <v>39062100</v>
      </c>
      <c r="AM818" s="312">
        <f t="shared" si="93"/>
        <v>0</v>
      </c>
      <c r="AN818" s="306" t="s">
        <v>1863</v>
      </c>
      <c r="AO818" s="312">
        <f t="shared" si="94"/>
        <v>0</v>
      </c>
      <c r="AP818" s="306"/>
      <c r="AQ818" s="306"/>
      <c r="AR818" s="306"/>
      <c r="AS818" s="306"/>
      <c r="AT818" s="306"/>
    </row>
    <row r="819" spans="1:46" ht="63.75" x14ac:dyDescent="0.25">
      <c r="A819" s="306">
        <v>224</v>
      </c>
      <c r="B819" s="306" t="str">
        <f t="shared" si="91"/>
        <v>3075-224</v>
      </c>
      <c r="C819" s="307" t="s">
        <v>1852</v>
      </c>
      <c r="D819" s="308" t="s">
        <v>1853</v>
      </c>
      <c r="E819" s="308" t="s">
        <v>1879</v>
      </c>
      <c r="F819" s="307" t="s">
        <v>1880</v>
      </c>
      <c r="G819" s="309" t="s">
        <v>1881</v>
      </c>
      <c r="H819" s="310" t="s">
        <v>1882</v>
      </c>
      <c r="I819" s="308" t="s">
        <v>1858</v>
      </c>
      <c r="J819" s="308" t="s">
        <v>1859</v>
      </c>
      <c r="K819" s="308" t="s">
        <v>63</v>
      </c>
      <c r="L819" s="306" t="s">
        <v>1860</v>
      </c>
      <c r="M819" s="306" t="s">
        <v>59</v>
      </c>
      <c r="N819" s="306" t="s">
        <v>60</v>
      </c>
      <c r="O819" s="308" t="s">
        <v>1874</v>
      </c>
      <c r="P819" s="308" t="s">
        <v>2461</v>
      </c>
      <c r="Q819" s="311">
        <v>16367330</v>
      </c>
      <c r="R819" s="306">
        <v>1</v>
      </c>
      <c r="S819" s="312">
        <v>16367330</v>
      </c>
      <c r="T819" s="306" t="s">
        <v>1876</v>
      </c>
      <c r="U819" s="306" t="s">
        <v>1876</v>
      </c>
      <c r="V819" s="313" t="s">
        <v>308</v>
      </c>
      <c r="W819" s="314" t="s">
        <v>63</v>
      </c>
      <c r="X819" s="306" t="s">
        <v>2462</v>
      </c>
      <c r="Y819" s="313">
        <v>43115</v>
      </c>
      <c r="Z819" s="315">
        <v>16367330</v>
      </c>
      <c r="AA819" s="316" t="s">
        <v>2446</v>
      </c>
      <c r="AB819" s="317">
        <v>497</v>
      </c>
      <c r="AC819" s="313">
        <v>43116</v>
      </c>
      <c r="AD819" s="312">
        <v>16367330</v>
      </c>
      <c r="AE819" s="318">
        <f t="shared" si="92"/>
        <v>0</v>
      </c>
      <c r="AF819" s="317">
        <v>516</v>
      </c>
      <c r="AG819" s="313">
        <v>43131</v>
      </c>
      <c r="AH819" s="312">
        <v>16367330</v>
      </c>
      <c r="AI819" s="306" t="s">
        <v>2463</v>
      </c>
      <c r="AJ819" s="306">
        <v>221</v>
      </c>
      <c r="AK819" s="318">
        <f t="shared" si="95"/>
        <v>0</v>
      </c>
      <c r="AL819" s="312">
        <f t="shared" si="96"/>
        <v>0</v>
      </c>
      <c r="AM819" s="312">
        <f t="shared" si="93"/>
        <v>16367330</v>
      </c>
      <c r="AN819" s="306" t="s">
        <v>1863</v>
      </c>
      <c r="AO819" s="312">
        <f t="shared" si="94"/>
        <v>0</v>
      </c>
      <c r="AP819" s="306"/>
      <c r="AQ819" s="306"/>
      <c r="AR819" s="306"/>
      <c r="AS819" s="306"/>
      <c r="AT819" s="306"/>
    </row>
    <row r="820" spans="1:46" ht="63.75" x14ac:dyDescent="0.25">
      <c r="A820" s="306">
        <v>225</v>
      </c>
      <c r="B820" s="306" t="str">
        <f t="shared" si="91"/>
        <v>3075-225</v>
      </c>
      <c r="C820" s="307" t="s">
        <v>1852</v>
      </c>
      <c r="D820" s="308" t="s">
        <v>1853</v>
      </c>
      <c r="E820" s="308" t="s">
        <v>1879</v>
      </c>
      <c r="F820" s="307" t="s">
        <v>1880</v>
      </c>
      <c r="G820" s="309" t="s">
        <v>1881</v>
      </c>
      <c r="H820" s="310" t="s">
        <v>1882</v>
      </c>
      <c r="I820" s="308" t="s">
        <v>1858</v>
      </c>
      <c r="J820" s="308" t="s">
        <v>1859</v>
      </c>
      <c r="K820" s="308" t="s">
        <v>63</v>
      </c>
      <c r="L820" s="306" t="s">
        <v>1860</v>
      </c>
      <c r="M820" s="306" t="s">
        <v>59</v>
      </c>
      <c r="N820" s="306" t="s">
        <v>60</v>
      </c>
      <c r="O820" s="308" t="s">
        <v>1874</v>
      </c>
      <c r="P820" s="308" t="s">
        <v>2464</v>
      </c>
      <c r="Q820" s="311">
        <v>39062100</v>
      </c>
      <c r="R820" s="306">
        <v>1</v>
      </c>
      <c r="S820" s="312">
        <v>39062100</v>
      </c>
      <c r="T820" s="306" t="s">
        <v>1876</v>
      </c>
      <c r="U820" s="306" t="s">
        <v>1876</v>
      </c>
      <c r="V820" s="313" t="s">
        <v>411</v>
      </c>
      <c r="W820" s="314" t="s">
        <v>63</v>
      </c>
      <c r="X820" s="306" t="s">
        <v>2465</v>
      </c>
      <c r="Y820" s="313">
        <v>43115</v>
      </c>
      <c r="Z820" s="315">
        <v>39062100</v>
      </c>
      <c r="AA820" s="316" t="s">
        <v>2446</v>
      </c>
      <c r="AB820" s="317">
        <v>498</v>
      </c>
      <c r="AC820" s="313">
        <v>43116</v>
      </c>
      <c r="AD820" s="312">
        <v>39062100</v>
      </c>
      <c r="AE820" s="318">
        <f t="shared" si="92"/>
        <v>0</v>
      </c>
      <c r="AF820" s="317">
        <v>998</v>
      </c>
      <c r="AG820" s="313">
        <v>43140</v>
      </c>
      <c r="AH820" s="312">
        <v>39062100</v>
      </c>
      <c r="AI820" s="306" t="s">
        <v>2466</v>
      </c>
      <c r="AJ820" s="306">
        <v>606</v>
      </c>
      <c r="AK820" s="318">
        <f t="shared" si="95"/>
        <v>0</v>
      </c>
      <c r="AL820" s="312">
        <f t="shared" si="96"/>
        <v>39062100</v>
      </c>
      <c r="AM820" s="312">
        <f t="shared" si="93"/>
        <v>0</v>
      </c>
      <c r="AN820" s="306" t="s">
        <v>1863</v>
      </c>
      <c r="AO820" s="312">
        <f t="shared" si="94"/>
        <v>0</v>
      </c>
      <c r="AP820" s="306"/>
      <c r="AQ820" s="306"/>
      <c r="AR820" s="306"/>
      <c r="AS820" s="306"/>
      <c r="AT820" s="306"/>
    </row>
    <row r="821" spans="1:46" ht="63.75" x14ac:dyDescent="0.25">
      <c r="A821" s="306">
        <v>226</v>
      </c>
      <c r="B821" s="306" t="str">
        <f t="shared" si="91"/>
        <v>3075-226</v>
      </c>
      <c r="C821" s="307" t="s">
        <v>1852</v>
      </c>
      <c r="D821" s="308" t="s">
        <v>1853</v>
      </c>
      <c r="E821" s="308" t="s">
        <v>1879</v>
      </c>
      <c r="F821" s="307" t="s">
        <v>1880</v>
      </c>
      <c r="G821" s="309" t="s">
        <v>1881</v>
      </c>
      <c r="H821" s="310" t="s">
        <v>1882</v>
      </c>
      <c r="I821" s="308" t="s">
        <v>1858</v>
      </c>
      <c r="J821" s="308" t="s">
        <v>1859</v>
      </c>
      <c r="K821" s="308" t="s">
        <v>63</v>
      </c>
      <c r="L821" s="306" t="s">
        <v>1860</v>
      </c>
      <c r="M821" s="306" t="s">
        <v>59</v>
      </c>
      <c r="N821" s="306" t="s">
        <v>60</v>
      </c>
      <c r="O821" s="308" t="s">
        <v>1874</v>
      </c>
      <c r="P821" s="308" t="s">
        <v>2467</v>
      </c>
      <c r="Q821" s="311">
        <v>39062100</v>
      </c>
      <c r="R821" s="306">
        <v>1</v>
      </c>
      <c r="S821" s="312">
        <v>39062100</v>
      </c>
      <c r="T821" s="306" t="s">
        <v>1876</v>
      </c>
      <c r="U821" s="306" t="s">
        <v>1876</v>
      </c>
      <c r="V821" s="313" t="s">
        <v>411</v>
      </c>
      <c r="W821" s="314" t="s">
        <v>63</v>
      </c>
      <c r="X821" s="306" t="s">
        <v>2468</v>
      </c>
      <c r="Y821" s="313">
        <v>43115</v>
      </c>
      <c r="Z821" s="315">
        <v>39062100</v>
      </c>
      <c r="AA821" s="316" t="s">
        <v>2446</v>
      </c>
      <c r="AB821" s="317">
        <v>503</v>
      </c>
      <c r="AC821" s="313">
        <v>43116</v>
      </c>
      <c r="AD821" s="312">
        <v>39062100</v>
      </c>
      <c r="AE821" s="318">
        <f t="shared" si="92"/>
        <v>0</v>
      </c>
      <c r="AF821" s="317">
        <v>752</v>
      </c>
      <c r="AG821" s="313">
        <v>43137</v>
      </c>
      <c r="AH821" s="312">
        <v>39062100</v>
      </c>
      <c r="AI821" s="306" t="s">
        <v>2469</v>
      </c>
      <c r="AJ821" s="306">
        <v>520</v>
      </c>
      <c r="AK821" s="318">
        <f t="shared" si="95"/>
        <v>0</v>
      </c>
      <c r="AL821" s="312">
        <f t="shared" si="96"/>
        <v>39062100</v>
      </c>
      <c r="AM821" s="312">
        <f t="shared" si="93"/>
        <v>0</v>
      </c>
      <c r="AN821" s="306" t="s">
        <v>1863</v>
      </c>
      <c r="AO821" s="312">
        <f t="shared" si="94"/>
        <v>0</v>
      </c>
      <c r="AP821" s="306"/>
      <c r="AQ821" s="306"/>
      <c r="AR821" s="306"/>
      <c r="AS821" s="306"/>
      <c r="AT821" s="306"/>
    </row>
    <row r="822" spans="1:46" ht="63.75" x14ac:dyDescent="0.25">
      <c r="A822" s="306">
        <v>227</v>
      </c>
      <c r="B822" s="306" t="str">
        <f t="shared" si="91"/>
        <v>3075-227</v>
      </c>
      <c r="C822" s="307" t="s">
        <v>1852</v>
      </c>
      <c r="D822" s="308" t="s">
        <v>1853</v>
      </c>
      <c r="E822" s="308" t="s">
        <v>1879</v>
      </c>
      <c r="F822" s="307" t="s">
        <v>1880</v>
      </c>
      <c r="G822" s="309" t="s">
        <v>1881</v>
      </c>
      <c r="H822" s="310" t="s">
        <v>1882</v>
      </c>
      <c r="I822" s="308" t="s">
        <v>1858</v>
      </c>
      <c r="J822" s="308" t="s">
        <v>1859</v>
      </c>
      <c r="K822" s="308" t="s">
        <v>63</v>
      </c>
      <c r="L822" s="306" t="s">
        <v>1860</v>
      </c>
      <c r="M822" s="306" t="s">
        <v>59</v>
      </c>
      <c r="N822" s="306" t="s">
        <v>60</v>
      </c>
      <c r="O822" s="308" t="s">
        <v>1874</v>
      </c>
      <c r="P822" s="308" t="s">
        <v>2470</v>
      </c>
      <c r="Q822" s="311">
        <v>39062100</v>
      </c>
      <c r="R822" s="306">
        <v>1</v>
      </c>
      <c r="S822" s="312">
        <v>39062100</v>
      </c>
      <c r="T822" s="306" t="s">
        <v>1876</v>
      </c>
      <c r="U822" s="306" t="s">
        <v>1876</v>
      </c>
      <c r="V822" s="313" t="s">
        <v>411</v>
      </c>
      <c r="W822" s="314" t="s">
        <v>63</v>
      </c>
      <c r="X822" s="306" t="s">
        <v>2471</v>
      </c>
      <c r="Y822" s="313">
        <v>43115</v>
      </c>
      <c r="Z822" s="315">
        <v>39062100</v>
      </c>
      <c r="AA822" s="316" t="s">
        <v>2446</v>
      </c>
      <c r="AB822" s="317">
        <v>504</v>
      </c>
      <c r="AC822" s="313">
        <v>43116</v>
      </c>
      <c r="AD822" s="312">
        <v>39062100</v>
      </c>
      <c r="AE822" s="318">
        <f t="shared" si="92"/>
        <v>0</v>
      </c>
      <c r="AF822" s="317">
        <v>517</v>
      </c>
      <c r="AG822" s="313">
        <v>43132</v>
      </c>
      <c r="AH822" s="312">
        <v>39062100</v>
      </c>
      <c r="AI822" s="306" t="s">
        <v>2472</v>
      </c>
      <c r="AJ822" s="306">
        <v>342</v>
      </c>
      <c r="AK822" s="318">
        <f t="shared" si="95"/>
        <v>0</v>
      </c>
      <c r="AL822" s="312">
        <f t="shared" si="96"/>
        <v>39062100</v>
      </c>
      <c r="AM822" s="312">
        <f t="shared" si="93"/>
        <v>0</v>
      </c>
      <c r="AN822" s="306" t="s">
        <v>1863</v>
      </c>
      <c r="AO822" s="312">
        <f t="shared" si="94"/>
        <v>0</v>
      </c>
      <c r="AP822" s="306"/>
      <c r="AQ822" s="306"/>
      <c r="AR822" s="306"/>
      <c r="AS822" s="306"/>
      <c r="AT822" s="306"/>
    </row>
    <row r="823" spans="1:46" ht="63.75" x14ac:dyDescent="0.25">
      <c r="A823" s="306">
        <v>228</v>
      </c>
      <c r="B823" s="306" t="str">
        <f t="shared" si="91"/>
        <v>3075-228</v>
      </c>
      <c r="C823" s="307" t="s">
        <v>1852</v>
      </c>
      <c r="D823" s="308" t="s">
        <v>1853</v>
      </c>
      <c r="E823" s="307" t="s">
        <v>1870</v>
      </c>
      <c r="F823" s="307" t="s">
        <v>1871</v>
      </c>
      <c r="G823" s="309" t="s">
        <v>1872</v>
      </c>
      <c r="H823" s="310" t="s">
        <v>1873</v>
      </c>
      <c r="I823" s="308" t="s">
        <v>1858</v>
      </c>
      <c r="J823" s="308" t="s">
        <v>1859</v>
      </c>
      <c r="K823" s="308" t="s">
        <v>63</v>
      </c>
      <c r="L823" s="306" t="s">
        <v>1860</v>
      </c>
      <c r="M823" s="306" t="s">
        <v>59</v>
      </c>
      <c r="N823" s="306" t="s">
        <v>60</v>
      </c>
      <c r="O823" s="308" t="s">
        <v>1874</v>
      </c>
      <c r="P823" s="322" t="s">
        <v>2473</v>
      </c>
      <c r="Q823" s="311">
        <v>113366000</v>
      </c>
      <c r="R823" s="306">
        <v>1</v>
      </c>
      <c r="S823" s="312">
        <v>113366000</v>
      </c>
      <c r="T823" s="306" t="s">
        <v>1876</v>
      </c>
      <c r="U823" s="306" t="s">
        <v>1876</v>
      </c>
      <c r="V823" s="313" t="s">
        <v>411</v>
      </c>
      <c r="W823" s="314" t="s">
        <v>63</v>
      </c>
      <c r="X823" s="306" t="s">
        <v>2474</v>
      </c>
      <c r="Y823" s="313">
        <v>43115</v>
      </c>
      <c r="Z823" s="315">
        <v>113366000</v>
      </c>
      <c r="AA823" s="316" t="s">
        <v>2442</v>
      </c>
      <c r="AB823" s="317">
        <v>505</v>
      </c>
      <c r="AC823" s="313">
        <v>43116</v>
      </c>
      <c r="AD823" s="312">
        <v>113366000</v>
      </c>
      <c r="AE823" s="318">
        <f t="shared" si="92"/>
        <v>0</v>
      </c>
      <c r="AF823" s="317">
        <v>999</v>
      </c>
      <c r="AG823" s="313">
        <v>43140</v>
      </c>
      <c r="AH823" s="312">
        <v>113366000</v>
      </c>
      <c r="AI823" s="306" t="s">
        <v>2475</v>
      </c>
      <c r="AJ823" s="306">
        <v>605</v>
      </c>
      <c r="AK823" s="318">
        <f t="shared" si="95"/>
        <v>0</v>
      </c>
      <c r="AL823" s="312">
        <f t="shared" si="96"/>
        <v>0</v>
      </c>
      <c r="AM823" s="312">
        <f t="shared" si="93"/>
        <v>113366000</v>
      </c>
      <c r="AN823" s="306" t="s">
        <v>1863</v>
      </c>
      <c r="AO823" s="312">
        <f t="shared" si="94"/>
        <v>0</v>
      </c>
      <c r="AP823" s="306"/>
      <c r="AQ823" s="306"/>
      <c r="AR823" s="306"/>
      <c r="AS823" s="306"/>
      <c r="AT823" s="306"/>
    </row>
    <row r="824" spans="1:46" ht="76.5" x14ac:dyDescent="0.25">
      <c r="A824" s="306">
        <v>229</v>
      </c>
      <c r="B824" s="306" t="str">
        <f t="shared" si="91"/>
        <v>3075-229</v>
      </c>
      <c r="C824" s="307" t="s">
        <v>1852</v>
      </c>
      <c r="D824" s="308" t="s">
        <v>1853</v>
      </c>
      <c r="E824" s="308" t="s">
        <v>2119</v>
      </c>
      <c r="F824" s="307" t="s">
        <v>1880</v>
      </c>
      <c r="G824" s="327" t="s">
        <v>1881</v>
      </c>
      <c r="H824" s="310" t="s">
        <v>2120</v>
      </c>
      <c r="I824" s="308" t="s">
        <v>1858</v>
      </c>
      <c r="J824" s="308" t="s">
        <v>1859</v>
      </c>
      <c r="K824" s="308" t="s">
        <v>63</v>
      </c>
      <c r="L824" s="306" t="s">
        <v>1860</v>
      </c>
      <c r="M824" s="306" t="s">
        <v>59</v>
      </c>
      <c r="N824" s="306" t="s">
        <v>60</v>
      </c>
      <c r="O824" s="308" t="s">
        <v>1910</v>
      </c>
      <c r="P824" s="306" t="s">
        <v>2476</v>
      </c>
      <c r="Q824" s="315">
        <v>54686940</v>
      </c>
      <c r="R824" s="333">
        <v>1</v>
      </c>
      <c r="S824" s="312">
        <v>54686940</v>
      </c>
      <c r="T824" s="306" t="s">
        <v>1876</v>
      </c>
      <c r="U824" s="306" t="s">
        <v>1876</v>
      </c>
      <c r="V824" s="313" t="s">
        <v>411</v>
      </c>
      <c r="W824" s="314" t="s">
        <v>63</v>
      </c>
      <c r="X824" s="306" t="s">
        <v>2477</v>
      </c>
      <c r="Y824" s="313">
        <v>43115</v>
      </c>
      <c r="Z824" s="312">
        <v>54686940</v>
      </c>
      <c r="AA824" s="316" t="s">
        <v>2402</v>
      </c>
      <c r="AB824" s="317">
        <v>510</v>
      </c>
      <c r="AC824" s="313">
        <v>43116</v>
      </c>
      <c r="AD824" s="312">
        <v>54686940</v>
      </c>
      <c r="AE824" s="318">
        <f t="shared" si="92"/>
        <v>0</v>
      </c>
      <c r="AF824" s="317">
        <v>518</v>
      </c>
      <c r="AG824" s="313">
        <v>43132</v>
      </c>
      <c r="AH824" s="312">
        <v>54686940</v>
      </c>
      <c r="AI824" s="306" t="s">
        <v>2478</v>
      </c>
      <c r="AJ824" s="306">
        <v>341</v>
      </c>
      <c r="AK824" s="318">
        <f t="shared" si="95"/>
        <v>0</v>
      </c>
      <c r="AL824" s="312">
        <f t="shared" si="96"/>
        <v>54686940</v>
      </c>
      <c r="AM824" s="312">
        <f t="shared" si="93"/>
        <v>0</v>
      </c>
      <c r="AN824" s="306" t="s">
        <v>1863</v>
      </c>
      <c r="AO824" s="312">
        <f t="shared" si="94"/>
        <v>0</v>
      </c>
      <c r="AP824" s="306"/>
      <c r="AQ824" s="306"/>
      <c r="AR824" s="306"/>
      <c r="AS824" s="306"/>
      <c r="AT824" s="306"/>
    </row>
    <row r="825" spans="1:46" ht="76.5" x14ac:dyDescent="0.25">
      <c r="A825" s="306">
        <v>230</v>
      </c>
      <c r="B825" s="306" t="str">
        <f t="shared" si="91"/>
        <v>3075-230</v>
      </c>
      <c r="C825" s="307" t="s">
        <v>1852</v>
      </c>
      <c r="D825" s="308" t="s">
        <v>1853</v>
      </c>
      <c r="E825" s="308" t="s">
        <v>2119</v>
      </c>
      <c r="F825" s="307" t="s">
        <v>1880</v>
      </c>
      <c r="G825" s="327" t="s">
        <v>1881</v>
      </c>
      <c r="H825" s="310" t="s">
        <v>2120</v>
      </c>
      <c r="I825" s="308" t="s">
        <v>1858</v>
      </c>
      <c r="J825" s="308" t="s">
        <v>1859</v>
      </c>
      <c r="K825" s="308" t="s">
        <v>63</v>
      </c>
      <c r="L825" s="306" t="s">
        <v>1860</v>
      </c>
      <c r="M825" s="306" t="s">
        <v>59</v>
      </c>
      <c r="N825" s="306" t="s">
        <v>60</v>
      </c>
      <c r="O825" s="308" t="s">
        <v>1910</v>
      </c>
      <c r="P825" s="306" t="s">
        <v>2479</v>
      </c>
      <c r="Q825" s="315">
        <v>54686940</v>
      </c>
      <c r="R825" s="333">
        <v>1</v>
      </c>
      <c r="S825" s="312">
        <v>54686940</v>
      </c>
      <c r="T825" s="306" t="s">
        <v>1876</v>
      </c>
      <c r="U825" s="306" t="s">
        <v>1876</v>
      </c>
      <c r="V825" s="320" t="s">
        <v>302</v>
      </c>
      <c r="W825" s="314" t="s">
        <v>63</v>
      </c>
      <c r="X825" s="306" t="s">
        <v>2480</v>
      </c>
      <c r="Y825" s="313">
        <v>43115</v>
      </c>
      <c r="Z825" s="312">
        <v>54686940</v>
      </c>
      <c r="AA825" s="316" t="s">
        <v>2402</v>
      </c>
      <c r="AB825" s="317">
        <v>511</v>
      </c>
      <c r="AC825" s="313">
        <v>43116</v>
      </c>
      <c r="AD825" s="312">
        <v>54686940</v>
      </c>
      <c r="AE825" s="318">
        <f t="shared" si="92"/>
        <v>0</v>
      </c>
      <c r="AF825" s="317"/>
      <c r="AG825" s="313"/>
      <c r="AH825" s="312"/>
      <c r="AI825" s="306"/>
      <c r="AJ825" s="306"/>
      <c r="AK825" s="318">
        <f t="shared" si="95"/>
        <v>54686940</v>
      </c>
      <c r="AL825" s="312">
        <v>0</v>
      </c>
      <c r="AM825" s="312">
        <f t="shared" si="93"/>
        <v>0</v>
      </c>
      <c r="AN825" s="306" t="s">
        <v>1863</v>
      </c>
      <c r="AO825" s="312">
        <f t="shared" si="94"/>
        <v>54686940</v>
      </c>
      <c r="AP825" s="306"/>
      <c r="AQ825" s="306"/>
      <c r="AR825" s="306"/>
      <c r="AS825" s="306"/>
      <c r="AT825" s="306"/>
    </row>
    <row r="826" spans="1:46" ht="76.5" x14ac:dyDescent="0.25">
      <c r="A826" s="306">
        <v>231</v>
      </c>
      <c r="B826" s="306" t="str">
        <f t="shared" si="91"/>
        <v>3075-231</v>
      </c>
      <c r="C826" s="307" t="s">
        <v>1852</v>
      </c>
      <c r="D826" s="308" t="s">
        <v>1853</v>
      </c>
      <c r="E826" s="308" t="s">
        <v>2119</v>
      </c>
      <c r="F826" s="307" t="s">
        <v>1880</v>
      </c>
      <c r="G826" s="327" t="s">
        <v>1881</v>
      </c>
      <c r="H826" s="310" t="s">
        <v>2120</v>
      </c>
      <c r="I826" s="308" t="s">
        <v>1858</v>
      </c>
      <c r="J826" s="308" t="s">
        <v>1859</v>
      </c>
      <c r="K826" s="308" t="s">
        <v>63</v>
      </c>
      <c r="L826" s="306" t="s">
        <v>1860</v>
      </c>
      <c r="M826" s="306" t="s">
        <v>59</v>
      </c>
      <c r="N826" s="306" t="s">
        <v>60</v>
      </c>
      <c r="O826" s="308" t="s">
        <v>1910</v>
      </c>
      <c r="P826" s="306" t="s">
        <v>2481</v>
      </c>
      <c r="Q826" s="315">
        <v>54686940</v>
      </c>
      <c r="R826" s="333">
        <v>1</v>
      </c>
      <c r="S826" s="312">
        <v>54686940</v>
      </c>
      <c r="T826" s="306" t="s">
        <v>1876</v>
      </c>
      <c r="U826" s="306" t="s">
        <v>1876</v>
      </c>
      <c r="V826" s="313" t="s">
        <v>411</v>
      </c>
      <c r="W826" s="314" t="s">
        <v>63</v>
      </c>
      <c r="X826" s="306" t="s">
        <v>2482</v>
      </c>
      <c r="Y826" s="313">
        <v>43115</v>
      </c>
      <c r="Z826" s="312">
        <v>54686940</v>
      </c>
      <c r="AA826" s="316" t="s">
        <v>2402</v>
      </c>
      <c r="AB826" s="317">
        <v>512</v>
      </c>
      <c r="AC826" s="313">
        <v>43116</v>
      </c>
      <c r="AD826" s="312">
        <v>54686940</v>
      </c>
      <c r="AE826" s="318">
        <f t="shared" si="92"/>
        <v>0</v>
      </c>
      <c r="AF826" s="317">
        <v>526</v>
      </c>
      <c r="AG826" s="313">
        <v>43132</v>
      </c>
      <c r="AH826" s="312">
        <v>54686940</v>
      </c>
      <c r="AI826" s="306" t="s">
        <v>2483</v>
      </c>
      <c r="AJ826" s="306">
        <v>334</v>
      </c>
      <c r="AK826" s="318">
        <f t="shared" si="95"/>
        <v>0</v>
      </c>
      <c r="AL826" s="312">
        <f t="shared" ref="AL826:AL857" si="97">VLOOKUP(AB826,RP,13,FALSE)</f>
        <v>54686940</v>
      </c>
      <c r="AM826" s="312">
        <f t="shared" si="93"/>
        <v>0</v>
      </c>
      <c r="AN826" s="306" t="s">
        <v>1863</v>
      </c>
      <c r="AO826" s="312">
        <f t="shared" si="94"/>
        <v>0</v>
      </c>
      <c r="AP826" s="306"/>
      <c r="AQ826" s="306"/>
      <c r="AR826" s="306"/>
      <c r="AS826" s="306"/>
      <c r="AT826" s="306"/>
    </row>
    <row r="827" spans="1:46" ht="76.5" x14ac:dyDescent="0.25">
      <c r="A827" s="306">
        <v>232</v>
      </c>
      <c r="B827" s="306" t="str">
        <f t="shared" si="91"/>
        <v>3075-232</v>
      </c>
      <c r="C827" s="307" t="s">
        <v>1852</v>
      </c>
      <c r="D827" s="308" t="s">
        <v>1853</v>
      </c>
      <c r="E827" s="308" t="s">
        <v>2119</v>
      </c>
      <c r="F827" s="307" t="s">
        <v>1880</v>
      </c>
      <c r="G827" s="327" t="s">
        <v>1881</v>
      </c>
      <c r="H827" s="310" t="s">
        <v>2120</v>
      </c>
      <c r="I827" s="308" t="s">
        <v>1858</v>
      </c>
      <c r="J827" s="308" t="s">
        <v>1859</v>
      </c>
      <c r="K827" s="308" t="s">
        <v>63</v>
      </c>
      <c r="L827" s="306" t="s">
        <v>1860</v>
      </c>
      <c r="M827" s="306" t="s">
        <v>59</v>
      </c>
      <c r="N827" s="306" t="s">
        <v>60</v>
      </c>
      <c r="O827" s="308" t="s">
        <v>1910</v>
      </c>
      <c r="P827" s="306" t="s">
        <v>2484</v>
      </c>
      <c r="Q827" s="315">
        <v>54686940</v>
      </c>
      <c r="R827" s="333">
        <v>1</v>
      </c>
      <c r="S827" s="312">
        <v>54686940</v>
      </c>
      <c r="T827" s="306" t="s">
        <v>1876</v>
      </c>
      <c r="U827" s="306" t="s">
        <v>1876</v>
      </c>
      <c r="V827" s="313" t="s">
        <v>308</v>
      </c>
      <c r="W827" s="314" t="s">
        <v>63</v>
      </c>
      <c r="X827" s="306" t="s">
        <v>2485</v>
      </c>
      <c r="Y827" s="313">
        <v>43115</v>
      </c>
      <c r="Z827" s="312">
        <v>54686940</v>
      </c>
      <c r="AA827" s="316" t="s">
        <v>2402</v>
      </c>
      <c r="AB827" s="317">
        <v>513</v>
      </c>
      <c r="AC827" s="313">
        <v>43116</v>
      </c>
      <c r="AD827" s="312">
        <v>54686940</v>
      </c>
      <c r="AE827" s="318">
        <f t="shared" si="92"/>
        <v>0</v>
      </c>
      <c r="AF827" s="317">
        <v>512</v>
      </c>
      <c r="AG827" s="313">
        <v>43129</v>
      </c>
      <c r="AH827" s="312">
        <v>54686940</v>
      </c>
      <c r="AI827" s="306" t="s">
        <v>2486</v>
      </c>
      <c r="AJ827" s="306">
        <v>205</v>
      </c>
      <c r="AK827" s="318">
        <f t="shared" si="95"/>
        <v>0</v>
      </c>
      <c r="AL827" s="312">
        <f t="shared" si="97"/>
        <v>0</v>
      </c>
      <c r="AM827" s="312">
        <f t="shared" si="93"/>
        <v>54686940</v>
      </c>
      <c r="AN827" s="306" t="s">
        <v>1863</v>
      </c>
      <c r="AO827" s="312">
        <f t="shared" si="94"/>
        <v>0</v>
      </c>
      <c r="AP827" s="306"/>
      <c r="AQ827" s="306"/>
      <c r="AR827" s="306"/>
      <c r="AS827" s="306"/>
      <c r="AT827" s="306"/>
    </row>
    <row r="828" spans="1:46" ht="76.5" x14ac:dyDescent="0.25">
      <c r="A828" s="306">
        <v>233</v>
      </c>
      <c r="B828" s="306" t="str">
        <f t="shared" si="91"/>
        <v>3075-233</v>
      </c>
      <c r="C828" s="307" t="s">
        <v>1852</v>
      </c>
      <c r="D828" s="308" t="s">
        <v>1853</v>
      </c>
      <c r="E828" s="308" t="s">
        <v>2119</v>
      </c>
      <c r="F828" s="307" t="s">
        <v>1880</v>
      </c>
      <c r="G828" s="327" t="s">
        <v>1881</v>
      </c>
      <c r="H828" s="310" t="s">
        <v>2120</v>
      </c>
      <c r="I828" s="308" t="s">
        <v>1858</v>
      </c>
      <c r="J828" s="308" t="s">
        <v>1859</v>
      </c>
      <c r="K828" s="308" t="s">
        <v>63</v>
      </c>
      <c r="L828" s="306" t="s">
        <v>1860</v>
      </c>
      <c r="M828" s="306" t="s">
        <v>59</v>
      </c>
      <c r="N828" s="306" t="s">
        <v>60</v>
      </c>
      <c r="O828" s="308" t="s">
        <v>1910</v>
      </c>
      <c r="P828" s="306" t="s">
        <v>2487</v>
      </c>
      <c r="Q828" s="315">
        <v>54686940</v>
      </c>
      <c r="R828" s="333">
        <v>1</v>
      </c>
      <c r="S828" s="312">
        <v>54686940</v>
      </c>
      <c r="T828" s="306" t="s">
        <v>1876</v>
      </c>
      <c r="U828" s="306" t="s">
        <v>1876</v>
      </c>
      <c r="V828" s="313" t="s">
        <v>411</v>
      </c>
      <c r="W828" s="314" t="s">
        <v>63</v>
      </c>
      <c r="X828" s="306" t="s">
        <v>2488</v>
      </c>
      <c r="Y828" s="313">
        <v>43115</v>
      </c>
      <c r="Z828" s="312">
        <v>54686940</v>
      </c>
      <c r="AA828" s="316" t="s">
        <v>2402</v>
      </c>
      <c r="AB828" s="317">
        <v>514</v>
      </c>
      <c r="AC828" s="313">
        <v>43116</v>
      </c>
      <c r="AD828" s="312">
        <v>54686940</v>
      </c>
      <c r="AE828" s="318">
        <f t="shared" si="92"/>
        <v>0</v>
      </c>
      <c r="AF828" s="317">
        <v>809</v>
      </c>
      <c r="AG828" s="313">
        <v>43138</v>
      </c>
      <c r="AH828" s="312">
        <v>54686940</v>
      </c>
      <c r="AI828" s="306" t="s">
        <v>2489</v>
      </c>
      <c r="AJ828" s="306">
        <v>597</v>
      </c>
      <c r="AK828" s="318">
        <f t="shared" si="95"/>
        <v>0</v>
      </c>
      <c r="AL828" s="312">
        <f t="shared" si="97"/>
        <v>54686940</v>
      </c>
      <c r="AM828" s="312">
        <f t="shared" si="93"/>
        <v>0</v>
      </c>
      <c r="AN828" s="306" t="s">
        <v>1863</v>
      </c>
      <c r="AO828" s="312">
        <f t="shared" si="94"/>
        <v>0</v>
      </c>
      <c r="AP828" s="306"/>
      <c r="AQ828" s="306"/>
      <c r="AR828" s="306"/>
      <c r="AS828" s="306"/>
      <c r="AT828" s="306"/>
    </row>
    <row r="829" spans="1:46" ht="76.5" x14ac:dyDescent="0.25">
      <c r="A829" s="306">
        <v>234</v>
      </c>
      <c r="B829" s="306" t="str">
        <f t="shared" si="91"/>
        <v>3075-234</v>
      </c>
      <c r="C829" s="307" t="s">
        <v>1852</v>
      </c>
      <c r="D829" s="308" t="s">
        <v>1853</v>
      </c>
      <c r="E829" s="308" t="s">
        <v>2119</v>
      </c>
      <c r="F829" s="307" t="s">
        <v>1880</v>
      </c>
      <c r="G829" s="327" t="s">
        <v>1881</v>
      </c>
      <c r="H829" s="310" t="s">
        <v>2120</v>
      </c>
      <c r="I829" s="308" t="s">
        <v>1858</v>
      </c>
      <c r="J829" s="308" t="s">
        <v>1859</v>
      </c>
      <c r="K829" s="308" t="s">
        <v>63</v>
      </c>
      <c r="L829" s="306" t="s">
        <v>1860</v>
      </c>
      <c r="M829" s="306" t="s">
        <v>59</v>
      </c>
      <c r="N829" s="306" t="s">
        <v>60</v>
      </c>
      <c r="O829" s="308" t="s">
        <v>1910</v>
      </c>
      <c r="P829" s="306" t="s">
        <v>2487</v>
      </c>
      <c r="Q829" s="315">
        <v>54686940</v>
      </c>
      <c r="R829" s="333">
        <v>1</v>
      </c>
      <c r="S829" s="312">
        <v>54686940</v>
      </c>
      <c r="T829" s="306" t="s">
        <v>1876</v>
      </c>
      <c r="U829" s="306" t="s">
        <v>1876</v>
      </c>
      <c r="V829" s="313" t="s">
        <v>411</v>
      </c>
      <c r="W829" s="314" t="s">
        <v>63</v>
      </c>
      <c r="X829" s="306" t="s">
        <v>2490</v>
      </c>
      <c r="Y829" s="313">
        <v>43117</v>
      </c>
      <c r="Z829" s="312">
        <v>54686940</v>
      </c>
      <c r="AA829" s="316" t="s">
        <v>2402</v>
      </c>
      <c r="AB829" s="317">
        <v>533</v>
      </c>
      <c r="AC829" s="313">
        <v>43118</v>
      </c>
      <c r="AD829" s="312">
        <v>54686940</v>
      </c>
      <c r="AE829" s="318">
        <f t="shared" si="92"/>
        <v>0</v>
      </c>
      <c r="AF829" s="317">
        <v>521</v>
      </c>
      <c r="AG829" s="313">
        <v>43132</v>
      </c>
      <c r="AH829" s="312">
        <v>54686940</v>
      </c>
      <c r="AI829" s="306" t="s">
        <v>2491</v>
      </c>
      <c r="AJ829" s="306">
        <v>336</v>
      </c>
      <c r="AK829" s="318">
        <f t="shared" si="95"/>
        <v>0</v>
      </c>
      <c r="AL829" s="312">
        <f t="shared" si="97"/>
        <v>0</v>
      </c>
      <c r="AM829" s="312">
        <f t="shared" si="93"/>
        <v>54686940</v>
      </c>
      <c r="AN829" s="306" t="s">
        <v>1863</v>
      </c>
      <c r="AO829" s="312">
        <f t="shared" si="94"/>
        <v>0</v>
      </c>
      <c r="AP829" s="306"/>
      <c r="AQ829" s="306"/>
      <c r="AR829" s="306"/>
      <c r="AS829" s="306"/>
      <c r="AT829" s="306"/>
    </row>
    <row r="830" spans="1:46" ht="76.5" x14ac:dyDescent="0.25">
      <c r="A830" s="306">
        <v>235</v>
      </c>
      <c r="B830" s="306" t="str">
        <f t="shared" si="91"/>
        <v>3075-235</v>
      </c>
      <c r="C830" s="307" t="s">
        <v>1852</v>
      </c>
      <c r="D830" s="308" t="s">
        <v>1853</v>
      </c>
      <c r="E830" s="308" t="s">
        <v>2119</v>
      </c>
      <c r="F830" s="307" t="s">
        <v>1880</v>
      </c>
      <c r="G830" s="327" t="s">
        <v>1881</v>
      </c>
      <c r="H830" s="310" t="s">
        <v>2120</v>
      </c>
      <c r="I830" s="308" t="s">
        <v>1858</v>
      </c>
      <c r="J830" s="308" t="s">
        <v>1859</v>
      </c>
      <c r="K830" s="308" t="s">
        <v>63</v>
      </c>
      <c r="L830" s="306" t="s">
        <v>1860</v>
      </c>
      <c r="M830" s="306" t="s">
        <v>59</v>
      </c>
      <c r="N830" s="306" t="s">
        <v>60</v>
      </c>
      <c r="O830" s="308" t="s">
        <v>1910</v>
      </c>
      <c r="P830" s="306" t="s">
        <v>2492</v>
      </c>
      <c r="Q830" s="315">
        <v>54686940</v>
      </c>
      <c r="R830" s="333">
        <v>1</v>
      </c>
      <c r="S830" s="312">
        <v>54686940</v>
      </c>
      <c r="T830" s="306" t="s">
        <v>1876</v>
      </c>
      <c r="U830" s="306" t="s">
        <v>1876</v>
      </c>
      <c r="V830" s="313" t="s">
        <v>411</v>
      </c>
      <c r="W830" s="314" t="s">
        <v>63</v>
      </c>
      <c r="X830" s="306" t="s">
        <v>2493</v>
      </c>
      <c r="Y830" s="313">
        <v>43117</v>
      </c>
      <c r="Z830" s="312">
        <v>54686940</v>
      </c>
      <c r="AA830" s="316" t="s">
        <v>2402</v>
      </c>
      <c r="AB830" s="317">
        <v>534</v>
      </c>
      <c r="AC830" s="313">
        <v>43118</v>
      </c>
      <c r="AD830" s="312">
        <v>54686940</v>
      </c>
      <c r="AE830" s="318">
        <f t="shared" si="92"/>
        <v>0</v>
      </c>
      <c r="AF830" s="317">
        <v>519</v>
      </c>
      <c r="AG830" s="313">
        <v>43132</v>
      </c>
      <c r="AH830" s="312">
        <v>54686940</v>
      </c>
      <c r="AI830" s="306" t="s">
        <v>2494</v>
      </c>
      <c r="AJ830" s="306">
        <v>340</v>
      </c>
      <c r="AK830" s="318">
        <f t="shared" si="95"/>
        <v>0</v>
      </c>
      <c r="AL830" s="312">
        <f t="shared" si="97"/>
        <v>0</v>
      </c>
      <c r="AM830" s="312">
        <f t="shared" si="93"/>
        <v>54686940</v>
      </c>
      <c r="AN830" s="306" t="s">
        <v>1863</v>
      </c>
      <c r="AO830" s="312">
        <f t="shared" si="94"/>
        <v>0</v>
      </c>
      <c r="AP830" s="306"/>
      <c r="AQ830" s="306"/>
      <c r="AR830" s="306"/>
      <c r="AS830" s="306"/>
      <c r="AT830" s="306"/>
    </row>
    <row r="831" spans="1:46" ht="76.5" x14ac:dyDescent="0.25">
      <c r="A831" s="306">
        <v>236</v>
      </c>
      <c r="B831" s="306" t="str">
        <f t="shared" si="91"/>
        <v>3075-236</v>
      </c>
      <c r="C831" s="307" t="s">
        <v>1852</v>
      </c>
      <c r="D831" s="308" t="s">
        <v>1853</v>
      </c>
      <c r="E831" s="308" t="s">
        <v>2119</v>
      </c>
      <c r="F831" s="307" t="s">
        <v>1880</v>
      </c>
      <c r="G831" s="327" t="s">
        <v>1881</v>
      </c>
      <c r="H831" s="310" t="s">
        <v>2120</v>
      </c>
      <c r="I831" s="308" t="s">
        <v>1858</v>
      </c>
      <c r="J831" s="308" t="s">
        <v>1859</v>
      </c>
      <c r="K831" s="308" t="s">
        <v>63</v>
      </c>
      <c r="L831" s="306" t="s">
        <v>1860</v>
      </c>
      <c r="M831" s="306" t="s">
        <v>59</v>
      </c>
      <c r="N831" s="306" t="s">
        <v>60</v>
      </c>
      <c r="O831" s="308" t="s">
        <v>1910</v>
      </c>
      <c r="P831" s="306" t="s">
        <v>2495</v>
      </c>
      <c r="Q831" s="315">
        <v>54686940</v>
      </c>
      <c r="R831" s="333">
        <v>1</v>
      </c>
      <c r="S831" s="312">
        <v>54686940</v>
      </c>
      <c r="T831" s="306" t="s">
        <v>1876</v>
      </c>
      <c r="U831" s="306" t="s">
        <v>1876</v>
      </c>
      <c r="V831" s="313" t="s">
        <v>411</v>
      </c>
      <c r="W831" s="314" t="s">
        <v>63</v>
      </c>
      <c r="X831" s="306" t="s">
        <v>2496</v>
      </c>
      <c r="Y831" s="313">
        <v>43117</v>
      </c>
      <c r="Z831" s="312">
        <v>54686940</v>
      </c>
      <c r="AA831" s="316" t="s">
        <v>2402</v>
      </c>
      <c r="AB831" s="317">
        <v>535</v>
      </c>
      <c r="AC831" s="313">
        <v>43118</v>
      </c>
      <c r="AD831" s="312">
        <v>54686940</v>
      </c>
      <c r="AE831" s="318">
        <f t="shared" si="92"/>
        <v>0</v>
      </c>
      <c r="AF831" s="317">
        <v>524</v>
      </c>
      <c r="AG831" s="313">
        <v>43132</v>
      </c>
      <c r="AH831" s="312">
        <v>54686940</v>
      </c>
      <c r="AI831" s="306" t="s">
        <v>2497</v>
      </c>
      <c r="AJ831" s="306">
        <v>338</v>
      </c>
      <c r="AK831" s="318">
        <f t="shared" si="95"/>
        <v>0</v>
      </c>
      <c r="AL831" s="312">
        <f t="shared" si="97"/>
        <v>54686940</v>
      </c>
      <c r="AM831" s="312">
        <f t="shared" si="93"/>
        <v>0</v>
      </c>
      <c r="AN831" s="306" t="s">
        <v>1863</v>
      </c>
      <c r="AO831" s="312">
        <f t="shared" si="94"/>
        <v>0</v>
      </c>
      <c r="AP831" s="306"/>
      <c r="AQ831" s="306"/>
      <c r="AR831" s="306"/>
      <c r="AS831" s="306"/>
      <c r="AT831" s="306"/>
    </row>
    <row r="832" spans="1:46" ht="76.5" x14ac:dyDescent="0.25">
      <c r="A832" s="306">
        <v>237</v>
      </c>
      <c r="B832" s="306" t="str">
        <f t="shared" si="91"/>
        <v>3075-237</v>
      </c>
      <c r="C832" s="307" t="s">
        <v>1852</v>
      </c>
      <c r="D832" s="308" t="s">
        <v>1853</v>
      </c>
      <c r="E832" s="308" t="s">
        <v>2119</v>
      </c>
      <c r="F832" s="307" t="s">
        <v>1880</v>
      </c>
      <c r="G832" s="327" t="s">
        <v>1881</v>
      </c>
      <c r="H832" s="310" t="s">
        <v>2120</v>
      </c>
      <c r="I832" s="308" t="s">
        <v>1858</v>
      </c>
      <c r="J832" s="308" t="s">
        <v>1859</v>
      </c>
      <c r="K832" s="308" t="s">
        <v>63</v>
      </c>
      <c r="L832" s="306" t="s">
        <v>1860</v>
      </c>
      <c r="M832" s="306" t="s">
        <v>59</v>
      </c>
      <c r="N832" s="306" t="s">
        <v>60</v>
      </c>
      <c r="O832" s="308" t="s">
        <v>1910</v>
      </c>
      <c r="P832" s="306" t="s">
        <v>2498</v>
      </c>
      <c r="Q832" s="315">
        <v>54686940</v>
      </c>
      <c r="R832" s="333">
        <v>1</v>
      </c>
      <c r="S832" s="312">
        <v>54686940</v>
      </c>
      <c r="T832" s="306" t="s">
        <v>1876</v>
      </c>
      <c r="U832" s="306" t="s">
        <v>1876</v>
      </c>
      <c r="V832" s="313" t="s">
        <v>411</v>
      </c>
      <c r="W832" s="314" t="s">
        <v>63</v>
      </c>
      <c r="X832" s="306" t="s">
        <v>2499</v>
      </c>
      <c r="Y832" s="313">
        <v>43117</v>
      </c>
      <c r="Z832" s="312">
        <v>54686940</v>
      </c>
      <c r="AA832" s="316" t="s">
        <v>2402</v>
      </c>
      <c r="AB832" s="317">
        <v>537</v>
      </c>
      <c r="AC832" s="313">
        <v>43118</v>
      </c>
      <c r="AD832" s="312">
        <v>54686940</v>
      </c>
      <c r="AE832" s="318">
        <f t="shared" si="92"/>
        <v>0</v>
      </c>
      <c r="AF832" s="317">
        <v>523</v>
      </c>
      <c r="AG832" s="313">
        <v>43132</v>
      </c>
      <c r="AH832" s="312">
        <v>54686940</v>
      </c>
      <c r="AI832" s="306" t="s">
        <v>2500</v>
      </c>
      <c r="AJ832" s="306">
        <v>337</v>
      </c>
      <c r="AK832" s="318">
        <f t="shared" si="95"/>
        <v>0</v>
      </c>
      <c r="AL832" s="312">
        <f t="shared" si="97"/>
        <v>0</v>
      </c>
      <c r="AM832" s="312">
        <f t="shared" si="93"/>
        <v>54686940</v>
      </c>
      <c r="AN832" s="306" t="s">
        <v>1863</v>
      </c>
      <c r="AO832" s="312">
        <f t="shared" si="94"/>
        <v>0</v>
      </c>
      <c r="AP832" s="306"/>
      <c r="AQ832" s="306"/>
      <c r="AR832" s="306"/>
      <c r="AS832" s="306"/>
      <c r="AT832" s="306"/>
    </row>
    <row r="833" spans="1:46" ht="76.5" x14ac:dyDescent="0.25">
      <c r="A833" s="306">
        <v>238</v>
      </c>
      <c r="B833" s="306" t="str">
        <f t="shared" si="91"/>
        <v>3075-238</v>
      </c>
      <c r="C833" s="307" t="s">
        <v>1852</v>
      </c>
      <c r="D833" s="308" t="s">
        <v>1853</v>
      </c>
      <c r="E833" s="308" t="s">
        <v>2119</v>
      </c>
      <c r="F833" s="307" t="s">
        <v>1880</v>
      </c>
      <c r="G833" s="327" t="s">
        <v>1881</v>
      </c>
      <c r="H833" s="310" t="s">
        <v>2120</v>
      </c>
      <c r="I833" s="308" t="s">
        <v>1858</v>
      </c>
      <c r="J833" s="308" t="s">
        <v>1859</v>
      </c>
      <c r="K833" s="308" t="s">
        <v>63</v>
      </c>
      <c r="L833" s="306" t="s">
        <v>1860</v>
      </c>
      <c r="M833" s="306" t="s">
        <v>59</v>
      </c>
      <c r="N833" s="306" t="s">
        <v>60</v>
      </c>
      <c r="O833" s="308" t="s">
        <v>1910</v>
      </c>
      <c r="P833" s="306" t="s">
        <v>2501</v>
      </c>
      <c r="Q833" s="315">
        <v>54686940</v>
      </c>
      <c r="R833" s="333">
        <v>1</v>
      </c>
      <c r="S833" s="312">
        <v>54686940</v>
      </c>
      <c r="T833" s="306" t="s">
        <v>1876</v>
      </c>
      <c r="U833" s="306" t="s">
        <v>1876</v>
      </c>
      <c r="V833" s="313" t="s">
        <v>411</v>
      </c>
      <c r="W833" s="314" t="s">
        <v>63</v>
      </c>
      <c r="X833" s="306" t="s">
        <v>2502</v>
      </c>
      <c r="Y833" s="313">
        <v>43117</v>
      </c>
      <c r="Z833" s="312">
        <v>54686940</v>
      </c>
      <c r="AA833" s="316" t="s">
        <v>2402</v>
      </c>
      <c r="AB833" s="317">
        <v>538</v>
      </c>
      <c r="AC833" s="313">
        <v>43118</v>
      </c>
      <c r="AD833" s="312">
        <v>54686940</v>
      </c>
      <c r="AE833" s="318">
        <f t="shared" si="92"/>
        <v>0</v>
      </c>
      <c r="AF833" s="317">
        <v>1333</v>
      </c>
      <c r="AG833" s="313">
        <v>43144</v>
      </c>
      <c r="AH833" s="312">
        <v>54686940</v>
      </c>
      <c r="AI833" s="306" t="s">
        <v>2503</v>
      </c>
      <c r="AJ833" s="306">
        <v>762</v>
      </c>
      <c r="AK833" s="318">
        <f t="shared" si="95"/>
        <v>0</v>
      </c>
      <c r="AL833" s="312">
        <f t="shared" si="97"/>
        <v>54686940</v>
      </c>
      <c r="AM833" s="312">
        <f t="shared" si="93"/>
        <v>0</v>
      </c>
      <c r="AN833" s="306" t="s">
        <v>1863</v>
      </c>
      <c r="AO833" s="312">
        <f t="shared" si="94"/>
        <v>0</v>
      </c>
      <c r="AP833" s="306"/>
      <c r="AQ833" s="306"/>
      <c r="AR833" s="306"/>
      <c r="AS833" s="306"/>
      <c r="AT833" s="306"/>
    </row>
    <row r="834" spans="1:46" ht="76.5" x14ac:dyDescent="0.25">
      <c r="A834" s="306">
        <v>239</v>
      </c>
      <c r="B834" s="306" t="str">
        <f t="shared" si="91"/>
        <v>3075-239</v>
      </c>
      <c r="C834" s="307" t="s">
        <v>1852</v>
      </c>
      <c r="D834" s="308" t="s">
        <v>1853</v>
      </c>
      <c r="E834" s="308" t="s">
        <v>2119</v>
      </c>
      <c r="F834" s="307" t="s">
        <v>1880</v>
      </c>
      <c r="G834" s="327" t="s">
        <v>1881</v>
      </c>
      <c r="H834" s="310" t="s">
        <v>2120</v>
      </c>
      <c r="I834" s="308" t="s">
        <v>1858</v>
      </c>
      <c r="J834" s="308" t="s">
        <v>1859</v>
      </c>
      <c r="K834" s="308" t="s">
        <v>63</v>
      </c>
      <c r="L834" s="306" t="s">
        <v>1860</v>
      </c>
      <c r="M834" s="306" t="s">
        <v>59</v>
      </c>
      <c r="N834" s="306" t="s">
        <v>60</v>
      </c>
      <c r="O834" s="308" t="s">
        <v>1910</v>
      </c>
      <c r="P834" s="306" t="s">
        <v>2504</v>
      </c>
      <c r="Q834" s="315">
        <v>54686940</v>
      </c>
      <c r="R834" s="333">
        <v>1</v>
      </c>
      <c r="S834" s="312">
        <v>54686940</v>
      </c>
      <c r="T834" s="306" t="s">
        <v>1876</v>
      </c>
      <c r="U834" s="306" t="s">
        <v>1876</v>
      </c>
      <c r="V834" s="313" t="s">
        <v>411</v>
      </c>
      <c r="W834" s="314" t="s">
        <v>63</v>
      </c>
      <c r="X834" s="306" t="s">
        <v>2505</v>
      </c>
      <c r="Y834" s="313">
        <v>43117</v>
      </c>
      <c r="Z834" s="312">
        <v>54686940</v>
      </c>
      <c r="AA834" s="316" t="s">
        <v>2402</v>
      </c>
      <c r="AB834" s="317">
        <v>539</v>
      </c>
      <c r="AC834" s="313">
        <v>43118</v>
      </c>
      <c r="AD834" s="312">
        <v>54686940</v>
      </c>
      <c r="AE834" s="318">
        <f t="shared" si="92"/>
        <v>0</v>
      </c>
      <c r="AF834" s="317">
        <v>638</v>
      </c>
      <c r="AG834" s="313">
        <v>43133</v>
      </c>
      <c r="AH834" s="312">
        <v>54686940</v>
      </c>
      <c r="AI834" s="306" t="s">
        <v>2506</v>
      </c>
      <c r="AJ834" s="306">
        <v>512</v>
      </c>
      <c r="AK834" s="318">
        <f t="shared" si="95"/>
        <v>0</v>
      </c>
      <c r="AL834" s="312">
        <f t="shared" si="97"/>
        <v>54686940</v>
      </c>
      <c r="AM834" s="312">
        <f t="shared" si="93"/>
        <v>0</v>
      </c>
      <c r="AN834" s="306" t="s">
        <v>1863</v>
      </c>
      <c r="AO834" s="312">
        <f t="shared" si="94"/>
        <v>0</v>
      </c>
      <c r="AP834" s="306"/>
      <c r="AQ834" s="306"/>
      <c r="AR834" s="306"/>
      <c r="AS834" s="306"/>
      <c r="AT834" s="306"/>
    </row>
    <row r="835" spans="1:46" ht="76.5" x14ac:dyDescent="0.25">
      <c r="A835" s="306">
        <v>240</v>
      </c>
      <c r="B835" s="306" t="str">
        <f t="shared" si="91"/>
        <v>3075-240</v>
      </c>
      <c r="C835" s="307" t="s">
        <v>1852</v>
      </c>
      <c r="D835" s="308" t="s">
        <v>1853</v>
      </c>
      <c r="E835" s="308" t="s">
        <v>2119</v>
      </c>
      <c r="F835" s="307" t="s">
        <v>1880</v>
      </c>
      <c r="G835" s="327" t="s">
        <v>1881</v>
      </c>
      <c r="H835" s="310" t="s">
        <v>2120</v>
      </c>
      <c r="I835" s="308" t="s">
        <v>1858</v>
      </c>
      <c r="J835" s="308" t="s">
        <v>1859</v>
      </c>
      <c r="K835" s="308" t="s">
        <v>63</v>
      </c>
      <c r="L835" s="306" t="s">
        <v>1860</v>
      </c>
      <c r="M835" s="306" t="s">
        <v>59</v>
      </c>
      <c r="N835" s="306" t="s">
        <v>60</v>
      </c>
      <c r="O835" s="308" t="s">
        <v>1910</v>
      </c>
      <c r="P835" s="306" t="s">
        <v>2507</v>
      </c>
      <c r="Q835" s="315">
        <v>54686940</v>
      </c>
      <c r="R835" s="333">
        <v>1</v>
      </c>
      <c r="S835" s="312">
        <v>54686940</v>
      </c>
      <c r="T835" s="306" t="s">
        <v>1876</v>
      </c>
      <c r="U835" s="306" t="s">
        <v>1876</v>
      </c>
      <c r="V835" s="313" t="s">
        <v>411</v>
      </c>
      <c r="W835" s="314" t="s">
        <v>63</v>
      </c>
      <c r="X835" s="306" t="s">
        <v>2508</v>
      </c>
      <c r="Y835" s="313">
        <v>43117</v>
      </c>
      <c r="Z835" s="312">
        <v>54686940</v>
      </c>
      <c r="AA835" s="316" t="s">
        <v>2402</v>
      </c>
      <c r="AB835" s="317">
        <v>540</v>
      </c>
      <c r="AC835" s="313">
        <v>43118</v>
      </c>
      <c r="AD835" s="312">
        <v>54686940</v>
      </c>
      <c r="AE835" s="318">
        <f t="shared" si="92"/>
        <v>0</v>
      </c>
      <c r="AF835" s="317">
        <v>525</v>
      </c>
      <c r="AG835" s="313">
        <v>43132</v>
      </c>
      <c r="AH835" s="312">
        <v>54686940</v>
      </c>
      <c r="AI835" s="306" t="s">
        <v>2509</v>
      </c>
      <c r="AJ835" s="306">
        <v>333</v>
      </c>
      <c r="AK835" s="318">
        <f t="shared" si="95"/>
        <v>0</v>
      </c>
      <c r="AL835" s="312">
        <f t="shared" si="97"/>
        <v>0</v>
      </c>
      <c r="AM835" s="312">
        <f t="shared" si="93"/>
        <v>54686940</v>
      </c>
      <c r="AN835" s="306" t="s">
        <v>1863</v>
      </c>
      <c r="AO835" s="312">
        <f t="shared" si="94"/>
        <v>0</v>
      </c>
      <c r="AP835" s="306"/>
      <c r="AQ835" s="306"/>
      <c r="AR835" s="306"/>
      <c r="AS835" s="306"/>
      <c r="AT835" s="306"/>
    </row>
    <row r="836" spans="1:46" ht="63.75" x14ac:dyDescent="0.25">
      <c r="A836" s="306">
        <v>241</v>
      </c>
      <c r="B836" s="306" t="str">
        <f t="shared" si="91"/>
        <v>3075-241</v>
      </c>
      <c r="C836" s="307" t="s">
        <v>1852</v>
      </c>
      <c r="D836" s="308" t="s">
        <v>1853</v>
      </c>
      <c r="E836" s="308" t="s">
        <v>1879</v>
      </c>
      <c r="F836" s="307" t="s">
        <v>1880</v>
      </c>
      <c r="G836" s="309" t="s">
        <v>1881</v>
      </c>
      <c r="H836" s="310" t="s">
        <v>1882</v>
      </c>
      <c r="I836" s="308" t="s">
        <v>1858</v>
      </c>
      <c r="J836" s="308" t="s">
        <v>1859</v>
      </c>
      <c r="K836" s="308" t="s">
        <v>63</v>
      </c>
      <c r="L836" s="306" t="s">
        <v>1860</v>
      </c>
      <c r="M836" s="306" t="s">
        <v>59</v>
      </c>
      <c r="N836" s="306" t="s">
        <v>60</v>
      </c>
      <c r="O836" s="308" t="s">
        <v>1874</v>
      </c>
      <c r="P836" s="308" t="s">
        <v>2510</v>
      </c>
      <c r="Q836" s="311">
        <v>4739060</v>
      </c>
      <c r="R836" s="306">
        <v>1</v>
      </c>
      <c r="S836" s="312">
        <v>4739060</v>
      </c>
      <c r="T836" s="306" t="s">
        <v>1876</v>
      </c>
      <c r="U836" s="306" t="s">
        <v>1876</v>
      </c>
      <c r="V836" s="313" t="s">
        <v>411</v>
      </c>
      <c r="W836" s="314" t="s">
        <v>63</v>
      </c>
      <c r="X836" s="306" t="s">
        <v>2511</v>
      </c>
      <c r="Y836" s="313">
        <v>43123</v>
      </c>
      <c r="Z836" s="312">
        <v>4739060</v>
      </c>
      <c r="AA836" s="316" t="s">
        <v>2446</v>
      </c>
      <c r="AB836" s="317">
        <v>561</v>
      </c>
      <c r="AC836" s="313">
        <v>43124</v>
      </c>
      <c r="AD836" s="312">
        <v>4739060</v>
      </c>
      <c r="AE836" s="318">
        <f t="shared" si="92"/>
        <v>0</v>
      </c>
      <c r="AF836" s="317">
        <v>1458</v>
      </c>
      <c r="AG836" s="313">
        <v>43154</v>
      </c>
      <c r="AH836" s="312">
        <v>4739060</v>
      </c>
      <c r="AI836" s="306" t="s">
        <v>2512</v>
      </c>
      <c r="AJ836" s="306">
        <v>1378</v>
      </c>
      <c r="AK836" s="318">
        <f t="shared" si="95"/>
        <v>0</v>
      </c>
      <c r="AL836" s="312">
        <f t="shared" si="97"/>
        <v>4739060</v>
      </c>
      <c r="AM836" s="312">
        <f t="shared" si="93"/>
        <v>0</v>
      </c>
      <c r="AN836" s="306" t="s">
        <v>1863</v>
      </c>
      <c r="AO836" s="312">
        <f t="shared" si="94"/>
        <v>0</v>
      </c>
      <c r="AP836" s="306"/>
      <c r="AQ836" s="306"/>
      <c r="AR836" s="306"/>
      <c r="AS836" s="306"/>
      <c r="AT836" s="306"/>
    </row>
    <row r="837" spans="1:46" ht="63.75" x14ac:dyDescent="0.25">
      <c r="A837" s="306">
        <v>242</v>
      </c>
      <c r="B837" s="306" t="str">
        <f t="shared" si="91"/>
        <v>3075-242</v>
      </c>
      <c r="C837" s="307" t="s">
        <v>1852</v>
      </c>
      <c r="D837" s="308" t="s">
        <v>1853</v>
      </c>
      <c r="E837" s="307" t="s">
        <v>1870</v>
      </c>
      <c r="F837" s="307" t="s">
        <v>1871</v>
      </c>
      <c r="G837" s="309" t="s">
        <v>1872</v>
      </c>
      <c r="H837" s="310" t="s">
        <v>1873</v>
      </c>
      <c r="I837" s="308" t="s">
        <v>1858</v>
      </c>
      <c r="J837" s="308" t="s">
        <v>1859</v>
      </c>
      <c r="K837" s="308" t="s">
        <v>63</v>
      </c>
      <c r="L837" s="306" t="s">
        <v>1860</v>
      </c>
      <c r="M837" s="306" t="s">
        <v>59</v>
      </c>
      <c r="N837" s="306" t="s">
        <v>60</v>
      </c>
      <c r="O837" s="308" t="s">
        <v>1874</v>
      </c>
      <c r="P837" s="322" t="s">
        <v>2513</v>
      </c>
      <c r="Q837" s="311">
        <v>6163200</v>
      </c>
      <c r="R837" s="306">
        <v>1</v>
      </c>
      <c r="S837" s="312">
        <v>6163200</v>
      </c>
      <c r="T837" s="306" t="s">
        <v>1876</v>
      </c>
      <c r="U837" s="306" t="s">
        <v>1876</v>
      </c>
      <c r="V837" s="313" t="s">
        <v>302</v>
      </c>
      <c r="W837" s="314" t="s">
        <v>63</v>
      </c>
      <c r="X837" s="306" t="s">
        <v>2514</v>
      </c>
      <c r="Y837" s="313">
        <v>43123</v>
      </c>
      <c r="Z837" s="312">
        <v>6163200</v>
      </c>
      <c r="AA837" s="316" t="s">
        <v>2442</v>
      </c>
      <c r="AB837" s="317">
        <v>562</v>
      </c>
      <c r="AC837" s="313">
        <v>43124</v>
      </c>
      <c r="AD837" s="312">
        <v>6163200</v>
      </c>
      <c r="AE837" s="318">
        <f t="shared" si="92"/>
        <v>0</v>
      </c>
      <c r="AF837" s="317">
        <v>1845</v>
      </c>
      <c r="AG837" s="313">
        <v>43216</v>
      </c>
      <c r="AH837" s="312">
        <v>6163200</v>
      </c>
      <c r="AI837" s="306" t="s">
        <v>2515</v>
      </c>
      <c r="AJ837" s="306">
        <v>1901</v>
      </c>
      <c r="AK837" s="318">
        <f t="shared" si="95"/>
        <v>0</v>
      </c>
      <c r="AL837" s="312">
        <f t="shared" si="97"/>
        <v>0</v>
      </c>
      <c r="AM837" s="312">
        <f t="shared" si="93"/>
        <v>6163200</v>
      </c>
      <c r="AN837" s="306" t="s">
        <v>1863</v>
      </c>
      <c r="AO837" s="312">
        <f t="shared" si="94"/>
        <v>0</v>
      </c>
      <c r="AP837" s="306"/>
      <c r="AQ837" s="306"/>
      <c r="AR837" s="306"/>
      <c r="AS837" s="306"/>
      <c r="AT837" s="306"/>
    </row>
    <row r="838" spans="1:46" ht="63.75" x14ac:dyDescent="0.25">
      <c r="A838" s="306">
        <v>243</v>
      </c>
      <c r="B838" s="306" t="str">
        <f t="shared" si="91"/>
        <v>3075-243</v>
      </c>
      <c r="C838" s="307" t="s">
        <v>1852</v>
      </c>
      <c r="D838" s="308" t="s">
        <v>1853</v>
      </c>
      <c r="E838" s="307" t="s">
        <v>1870</v>
      </c>
      <c r="F838" s="307" t="s">
        <v>1871</v>
      </c>
      <c r="G838" s="309" t="s">
        <v>1872</v>
      </c>
      <c r="H838" s="310" t="s">
        <v>1873</v>
      </c>
      <c r="I838" s="308" t="s">
        <v>1858</v>
      </c>
      <c r="J838" s="308" t="s">
        <v>1859</v>
      </c>
      <c r="K838" s="308" t="s">
        <v>63</v>
      </c>
      <c r="L838" s="306" t="s">
        <v>1860</v>
      </c>
      <c r="M838" s="306" t="s">
        <v>59</v>
      </c>
      <c r="N838" s="306" t="s">
        <v>60</v>
      </c>
      <c r="O838" s="308" t="s">
        <v>1874</v>
      </c>
      <c r="P838" s="322" t="s">
        <v>2516</v>
      </c>
      <c r="Q838" s="311">
        <v>53532600</v>
      </c>
      <c r="R838" s="306">
        <v>1</v>
      </c>
      <c r="S838" s="312">
        <v>53532600</v>
      </c>
      <c r="T838" s="306" t="s">
        <v>1876</v>
      </c>
      <c r="U838" s="306" t="s">
        <v>1876</v>
      </c>
      <c r="V838" s="313" t="s">
        <v>302</v>
      </c>
      <c r="W838" s="314" t="s">
        <v>63</v>
      </c>
      <c r="X838" s="306" t="s">
        <v>2517</v>
      </c>
      <c r="Y838" s="313">
        <v>43123</v>
      </c>
      <c r="Z838" s="312">
        <v>53532600</v>
      </c>
      <c r="AA838" s="316" t="s">
        <v>2442</v>
      </c>
      <c r="AB838" s="317">
        <v>563</v>
      </c>
      <c r="AC838" s="313">
        <v>43124</v>
      </c>
      <c r="AD838" s="312">
        <v>53532600</v>
      </c>
      <c r="AE838" s="318">
        <f t="shared" si="92"/>
        <v>0</v>
      </c>
      <c r="AF838" s="317">
        <v>1777</v>
      </c>
      <c r="AG838" s="313">
        <v>43202</v>
      </c>
      <c r="AH838" s="312">
        <v>53532600</v>
      </c>
      <c r="AI838" s="306" t="s">
        <v>2518</v>
      </c>
      <c r="AJ838" s="306">
        <v>1782</v>
      </c>
      <c r="AK838" s="318">
        <f t="shared" si="95"/>
        <v>0</v>
      </c>
      <c r="AL838" s="312">
        <f t="shared" si="97"/>
        <v>0</v>
      </c>
      <c r="AM838" s="312">
        <f t="shared" si="93"/>
        <v>53532600</v>
      </c>
      <c r="AN838" s="306" t="s">
        <v>1863</v>
      </c>
      <c r="AO838" s="312">
        <f t="shared" si="94"/>
        <v>0</v>
      </c>
      <c r="AP838" s="306"/>
      <c r="AQ838" s="306"/>
      <c r="AR838" s="306"/>
      <c r="AS838" s="306"/>
      <c r="AT838" s="306"/>
    </row>
    <row r="839" spans="1:46" ht="63.75" x14ac:dyDescent="0.25">
      <c r="A839" s="306">
        <v>244</v>
      </c>
      <c r="B839" s="306" t="str">
        <f t="shared" si="91"/>
        <v>3075-244</v>
      </c>
      <c r="C839" s="307" t="s">
        <v>1852</v>
      </c>
      <c r="D839" s="308" t="s">
        <v>1853</v>
      </c>
      <c r="E839" s="307" t="s">
        <v>1870</v>
      </c>
      <c r="F839" s="307" t="s">
        <v>1871</v>
      </c>
      <c r="G839" s="309" t="s">
        <v>1872</v>
      </c>
      <c r="H839" s="310" t="s">
        <v>1873</v>
      </c>
      <c r="I839" s="308" t="s">
        <v>1858</v>
      </c>
      <c r="J839" s="308" t="s">
        <v>1859</v>
      </c>
      <c r="K839" s="308" t="s">
        <v>63</v>
      </c>
      <c r="L839" s="306" t="s">
        <v>1860</v>
      </c>
      <c r="M839" s="306" t="s">
        <v>59</v>
      </c>
      <c r="N839" s="306" t="s">
        <v>60</v>
      </c>
      <c r="O839" s="308" t="s">
        <v>1874</v>
      </c>
      <c r="P839" s="322" t="s">
        <v>2519</v>
      </c>
      <c r="Q839" s="311">
        <v>8832000</v>
      </c>
      <c r="R839" s="306">
        <v>1</v>
      </c>
      <c r="S839" s="312">
        <v>8832000</v>
      </c>
      <c r="T839" s="306" t="s">
        <v>1876</v>
      </c>
      <c r="U839" s="306" t="s">
        <v>1876</v>
      </c>
      <c r="V839" s="313" t="s">
        <v>302</v>
      </c>
      <c r="W839" s="314" t="s">
        <v>63</v>
      </c>
      <c r="X839" s="306" t="s">
        <v>2520</v>
      </c>
      <c r="Y839" s="313">
        <v>43123</v>
      </c>
      <c r="Z839" s="312">
        <v>8832000</v>
      </c>
      <c r="AA839" s="316" t="s">
        <v>2442</v>
      </c>
      <c r="AB839" s="317">
        <v>566</v>
      </c>
      <c r="AC839" s="313">
        <v>43124</v>
      </c>
      <c r="AD839" s="312">
        <v>8832000</v>
      </c>
      <c r="AE839" s="318">
        <f t="shared" si="92"/>
        <v>0</v>
      </c>
      <c r="AF839" s="317">
        <v>1825</v>
      </c>
      <c r="AG839" s="313">
        <v>43210</v>
      </c>
      <c r="AH839" s="312">
        <v>8832000</v>
      </c>
      <c r="AI839" s="306" t="s">
        <v>2521</v>
      </c>
      <c r="AJ839" s="306">
        <v>1879</v>
      </c>
      <c r="AK839" s="318">
        <f t="shared" si="95"/>
        <v>0</v>
      </c>
      <c r="AL839" s="312">
        <f t="shared" si="97"/>
        <v>0</v>
      </c>
      <c r="AM839" s="312">
        <f t="shared" si="93"/>
        <v>8832000</v>
      </c>
      <c r="AN839" s="306" t="s">
        <v>1863</v>
      </c>
      <c r="AO839" s="312">
        <f t="shared" si="94"/>
        <v>0</v>
      </c>
      <c r="AP839" s="306"/>
      <c r="AQ839" s="306"/>
      <c r="AR839" s="306"/>
      <c r="AS839" s="306"/>
      <c r="AT839" s="306"/>
    </row>
    <row r="840" spans="1:46" ht="63.75" x14ac:dyDescent="0.25">
      <c r="A840" s="306">
        <v>245</v>
      </c>
      <c r="B840" s="306" t="str">
        <f t="shared" si="91"/>
        <v>3075-245</v>
      </c>
      <c r="C840" s="307" t="s">
        <v>1852</v>
      </c>
      <c r="D840" s="308" t="s">
        <v>1853</v>
      </c>
      <c r="E840" s="307" t="s">
        <v>1870</v>
      </c>
      <c r="F840" s="307" t="s">
        <v>1871</v>
      </c>
      <c r="G840" s="309" t="s">
        <v>1872</v>
      </c>
      <c r="H840" s="310" t="s">
        <v>1873</v>
      </c>
      <c r="I840" s="308" t="s">
        <v>1858</v>
      </c>
      <c r="J840" s="308" t="s">
        <v>1859</v>
      </c>
      <c r="K840" s="308" t="s">
        <v>63</v>
      </c>
      <c r="L840" s="306" t="s">
        <v>1860</v>
      </c>
      <c r="M840" s="306" t="s">
        <v>59</v>
      </c>
      <c r="N840" s="306" t="s">
        <v>60</v>
      </c>
      <c r="O840" s="308" t="s">
        <v>1874</v>
      </c>
      <c r="P840" s="322" t="s">
        <v>2522</v>
      </c>
      <c r="Q840" s="311">
        <v>39873100</v>
      </c>
      <c r="R840" s="306">
        <v>1</v>
      </c>
      <c r="S840" s="312">
        <v>39873100</v>
      </c>
      <c r="T840" s="306" t="s">
        <v>1876</v>
      </c>
      <c r="U840" s="306" t="s">
        <v>1876</v>
      </c>
      <c r="V840" s="313" t="s">
        <v>302</v>
      </c>
      <c r="W840" s="314" t="s">
        <v>63</v>
      </c>
      <c r="X840" s="306" t="s">
        <v>2523</v>
      </c>
      <c r="Y840" s="313">
        <v>43123</v>
      </c>
      <c r="Z840" s="312">
        <v>39873100</v>
      </c>
      <c r="AA840" s="316" t="s">
        <v>2442</v>
      </c>
      <c r="AB840" s="317">
        <v>567</v>
      </c>
      <c r="AC840" s="313">
        <v>43124</v>
      </c>
      <c r="AD840" s="312">
        <v>39873100</v>
      </c>
      <c r="AE840" s="318">
        <f t="shared" si="92"/>
        <v>0</v>
      </c>
      <c r="AF840" s="317">
        <v>1827</v>
      </c>
      <c r="AG840" s="313">
        <v>43210</v>
      </c>
      <c r="AH840" s="312">
        <v>39873100</v>
      </c>
      <c r="AI840" s="306" t="s">
        <v>2524</v>
      </c>
      <c r="AJ840" s="306">
        <v>1881</v>
      </c>
      <c r="AK840" s="318">
        <f t="shared" si="95"/>
        <v>0</v>
      </c>
      <c r="AL840" s="312">
        <f t="shared" si="97"/>
        <v>0</v>
      </c>
      <c r="AM840" s="312">
        <f t="shared" si="93"/>
        <v>39873100</v>
      </c>
      <c r="AN840" s="306" t="s">
        <v>1863</v>
      </c>
      <c r="AO840" s="312">
        <f t="shared" si="94"/>
        <v>0</v>
      </c>
      <c r="AP840" s="306"/>
      <c r="AQ840" s="306"/>
      <c r="AR840" s="306"/>
      <c r="AS840" s="306"/>
      <c r="AT840" s="306"/>
    </row>
    <row r="841" spans="1:46" ht="76.5" x14ac:dyDescent="0.25">
      <c r="A841" s="306">
        <v>246</v>
      </c>
      <c r="B841" s="306" t="str">
        <f t="shared" si="91"/>
        <v>3075-246</v>
      </c>
      <c r="C841" s="307" t="s">
        <v>1852</v>
      </c>
      <c r="D841" s="308" t="s">
        <v>1853</v>
      </c>
      <c r="E841" s="308" t="s">
        <v>2119</v>
      </c>
      <c r="F841" s="307" t="s">
        <v>1880</v>
      </c>
      <c r="G841" s="327" t="s">
        <v>1881</v>
      </c>
      <c r="H841" s="310" t="s">
        <v>2120</v>
      </c>
      <c r="I841" s="308" t="s">
        <v>1858</v>
      </c>
      <c r="J841" s="308" t="s">
        <v>1859</v>
      </c>
      <c r="K841" s="308" t="s">
        <v>63</v>
      </c>
      <c r="L841" s="306" t="s">
        <v>1860</v>
      </c>
      <c r="M841" s="306" t="s">
        <v>59</v>
      </c>
      <c r="N841" s="306" t="s">
        <v>60</v>
      </c>
      <c r="O841" s="308" t="s">
        <v>1910</v>
      </c>
      <c r="P841" s="306" t="s">
        <v>2525</v>
      </c>
      <c r="Q841" s="315">
        <v>54686940</v>
      </c>
      <c r="R841" s="333">
        <v>1</v>
      </c>
      <c r="S841" s="312">
        <v>54686940</v>
      </c>
      <c r="T841" s="306" t="s">
        <v>1876</v>
      </c>
      <c r="U841" s="306" t="s">
        <v>1876</v>
      </c>
      <c r="V841" s="313" t="s">
        <v>411</v>
      </c>
      <c r="W841" s="314" t="s">
        <v>63</v>
      </c>
      <c r="X841" s="334" t="s">
        <v>2526</v>
      </c>
      <c r="Y841" s="313">
        <v>43126</v>
      </c>
      <c r="Z841" s="315">
        <v>54686940</v>
      </c>
      <c r="AA841" s="316" t="s">
        <v>2402</v>
      </c>
      <c r="AB841" s="317">
        <v>572</v>
      </c>
      <c r="AC841" s="313">
        <v>43126</v>
      </c>
      <c r="AD841" s="312">
        <v>54686940</v>
      </c>
      <c r="AE841" s="318">
        <f t="shared" si="92"/>
        <v>0</v>
      </c>
      <c r="AF841" s="317">
        <v>1336</v>
      </c>
      <c r="AG841" s="313">
        <v>43144</v>
      </c>
      <c r="AH841" s="312">
        <v>54686940</v>
      </c>
      <c r="AI841" s="306" t="s">
        <v>2527</v>
      </c>
      <c r="AJ841" s="306">
        <v>1099</v>
      </c>
      <c r="AK841" s="318">
        <f t="shared" si="95"/>
        <v>0</v>
      </c>
      <c r="AL841" s="312">
        <f t="shared" si="97"/>
        <v>54686940</v>
      </c>
      <c r="AM841" s="312">
        <f t="shared" si="93"/>
        <v>0</v>
      </c>
      <c r="AN841" s="306" t="s">
        <v>1863</v>
      </c>
      <c r="AO841" s="312">
        <f t="shared" si="94"/>
        <v>0</v>
      </c>
      <c r="AP841" s="306"/>
      <c r="AQ841" s="306"/>
      <c r="AR841" s="306"/>
      <c r="AS841" s="306"/>
      <c r="AT841" s="306"/>
    </row>
    <row r="842" spans="1:46" ht="76.5" x14ac:dyDescent="0.25">
      <c r="A842" s="306">
        <v>247</v>
      </c>
      <c r="B842" s="306" t="str">
        <f t="shared" si="91"/>
        <v>3075-247</v>
      </c>
      <c r="C842" s="307" t="s">
        <v>1852</v>
      </c>
      <c r="D842" s="308" t="s">
        <v>1853</v>
      </c>
      <c r="E842" s="308" t="s">
        <v>2119</v>
      </c>
      <c r="F842" s="307" t="s">
        <v>1880</v>
      </c>
      <c r="G842" s="327" t="s">
        <v>1881</v>
      </c>
      <c r="H842" s="310" t="s">
        <v>2120</v>
      </c>
      <c r="I842" s="308" t="s">
        <v>1858</v>
      </c>
      <c r="J842" s="308" t="s">
        <v>1859</v>
      </c>
      <c r="K842" s="308" t="s">
        <v>63</v>
      </c>
      <c r="L842" s="306" t="s">
        <v>1860</v>
      </c>
      <c r="M842" s="306" t="s">
        <v>59</v>
      </c>
      <c r="N842" s="306" t="s">
        <v>60</v>
      </c>
      <c r="O842" s="308" t="s">
        <v>1910</v>
      </c>
      <c r="P842" s="306" t="s">
        <v>2528</v>
      </c>
      <c r="Q842" s="315">
        <v>54686940</v>
      </c>
      <c r="R842" s="333">
        <v>1</v>
      </c>
      <c r="S842" s="312">
        <v>54686940</v>
      </c>
      <c r="T842" s="306" t="s">
        <v>1876</v>
      </c>
      <c r="U842" s="306" t="s">
        <v>1876</v>
      </c>
      <c r="V842" s="313" t="s">
        <v>411</v>
      </c>
      <c r="W842" s="314" t="s">
        <v>63</v>
      </c>
      <c r="X842" s="334" t="s">
        <v>2529</v>
      </c>
      <c r="Y842" s="313">
        <v>43126</v>
      </c>
      <c r="Z842" s="315">
        <v>54686940</v>
      </c>
      <c r="AA842" s="316" t="s">
        <v>2402</v>
      </c>
      <c r="AB842" s="317">
        <v>574</v>
      </c>
      <c r="AC842" s="313">
        <v>43126</v>
      </c>
      <c r="AD842" s="312">
        <v>54686940</v>
      </c>
      <c r="AE842" s="318">
        <f t="shared" si="92"/>
        <v>0</v>
      </c>
      <c r="AF842" s="317">
        <v>1024</v>
      </c>
      <c r="AG842" s="313">
        <v>43140</v>
      </c>
      <c r="AH842" s="312">
        <v>54686940</v>
      </c>
      <c r="AI842" s="306" t="s">
        <v>2530</v>
      </c>
      <c r="AJ842" s="306">
        <v>760</v>
      </c>
      <c r="AK842" s="318">
        <f t="shared" si="95"/>
        <v>0</v>
      </c>
      <c r="AL842" s="312">
        <f t="shared" si="97"/>
        <v>54686940</v>
      </c>
      <c r="AM842" s="312">
        <f t="shared" si="93"/>
        <v>0</v>
      </c>
      <c r="AN842" s="306" t="s">
        <v>1863</v>
      </c>
      <c r="AO842" s="312">
        <f t="shared" si="94"/>
        <v>0</v>
      </c>
      <c r="AP842" s="306"/>
      <c r="AQ842" s="306"/>
      <c r="AR842" s="306"/>
      <c r="AS842" s="306"/>
      <c r="AT842" s="306"/>
    </row>
    <row r="843" spans="1:46" ht="76.5" x14ac:dyDescent="0.25">
      <c r="A843" s="306">
        <v>248</v>
      </c>
      <c r="B843" s="306" t="str">
        <f t="shared" si="91"/>
        <v>3075-248</v>
      </c>
      <c r="C843" s="307" t="s">
        <v>1852</v>
      </c>
      <c r="D843" s="308" t="s">
        <v>1853</v>
      </c>
      <c r="E843" s="308" t="s">
        <v>2119</v>
      </c>
      <c r="F843" s="307" t="s">
        <v>1880</v>
      </c>
      <c r="G843" s="327" t="s">
        <v>1881</v>
      </c>
      <c r="H843" s="310" t="s">
        <v>2120</v>
      </c>
      <c r="I843" s="308" t="s">
        <v>1858</v>
      </c>
      <c r="J843" s="308" t="s">
        <v>1859</v>
      </c>
      <c r="K843" s="308" t="s">
        <v>63</v>
      </c>
      <c r="L843" s="306" t="s">
        <v>1860</v>
      </c>
      <c r="M843" s="306" t="s">
        <v>59</v>
      </c>
      <c r="N843" s="306" t="s">
        <v>60</v>
      </c>
      <c r="O843" s="308" t="s">
        <v>1910</v>
      </c>
      <c r="P843" s="306" t="s">
        <v>2531</v>
      </c>
      <c r="Q843" s="315">
        <v>54686940</v>
      </c>
      <c r="R843" s="333">
        <v>1</v>
      </c>
      <c r="S843" s="312">
        <v>54686940</v>
      </c>
      <c r="T843" s="306" t="s">
        <v>1876</v>
      </c>
      <c r="U843" s="306" t="s">
        <v>1876</v>
      </c>
      <c r="V843" s="313" t="s">
        <v>411</v>
      </c>
      <c r="W843" s="314" t="s">
        <v>63</v>
      </c>
      <c r="X843" s="334" t="s">
        <v>2532</v>
      </c>
      <c r="Y843" s="313">
        <v>43126</v>
      </c>
      <c r="Z843" s="315">
        <v>54686940</v>
      </c>
      <c r="AA843" s="316" t="s">
        <v>2402</v>
      </c>
      <c r="AB843" s="317">
        <v>575</v>
      </c>
      <c r="AC843" s="313">
        <v>43126</v>
      </c>
      <c r="AD843" s="312">
        <v>54686940</v>
      </c>
      <c r="AE843" s="318">
        <f t="shared" si="92"/>
        <v>0</v>
      </c>
      <c r="AF843" s="317">
        <v>996</v>
      </c>
      <c r="AG843" s="313">
        <v>43140</v>
      </c>
      <c r="AH843" s="312">
        <v>54686940</v>
      </c>
      <c r="AI843" s="306" t="s">
        <v>2533</v>
      </c>
      <c r="AJ843" s="306">
        <v>599</v>
      </c>
      <c r="AK843" s="318">
        <f t="shared" si="95"/>
        <v>0</v>
      </c>
      <c r="AL843" s="312">
        <f t="shared" si="97"/>
        <v>54686940</v>
      </c>
      <c r="AM843" s="312">
        <f t="shared" si="93"/>
        <v>0</v>
      </c>
      <c r="AN843" s="306" t="s">
        <v>1863</v>
      </c>
      <c r="AO843" s="312">
        <f t="shared" si="94"/>
        <v>0</v>
      </c>
      <c r="AP843" s="306"/>
      <c r="AQ843" s="306"/>
      <c r="AR843" s="306"/>
      <c r="AS843" s="306"/>
      <c r="AT843" s="306"/>
    </row>
    <row r="844" spans="1:46" ht="76.5" x14ac:dyDescent="0.25">
      <c r="A844" s="306">
        <v>249</v>
      </c>
      <c r="B844" s="306" t="str">
        <f t="shared" si="91"/>
        <v>3075-249</v>
      </c>
      <c r="C844" s="307" t="s">
        <v>1852</v>
      </c>
      <c r="D844" s="308" t="s">
        <v>1853</v>
      </c>
      <c r="E844" s="308" t="s">
        <v>2119</v>
      </c>
      <c r="F844" s="307" t="s">
        <v>1880</v>
      </c>
      <c r="G844" s="327" t="s">
        <v>1881</v>
      </c>
      <c r="H844" s="310" t="s">
        <v>2120</v>
      </c>
      <c r="I844" s="308" t="s">
        <v>1858</v>
      </c>
      <c r="J844" s="308" t="s">
        <v>1859</v>
      </c>
      <c r="K844" s="308" t="s">
        <v>63</v>
      </c>
      <c r="L844" s="306" t="s">
        <v>1860</v>
      </c>
      <c r="M844" s="306" t="s">
        <v>59</v>
      </c>
      <c r="N844" s="306" t="s">
        <v>60</v>
      </c>
      <c r="O844" s="308" t="s">
        <v>1910</v>
      </c>
      <c r="P844" s="306" t="s">
        <v>2534</v>
      </c>
      <c r="Q844" s="315">
        <v>54686940</v>
      </c>
      <c r="R844" s="333">
        <v>1</v>
      </c>
      <c r="S844" s="312">
        <v>54686940</v>
      </c>
      <c r="T844" s="306" t="s">
        <v>1876</v>
      </c>
      <c r="U844" s="306" t="s">
        <v>1876</v>
      </c>
      <c r="V844" s="313" t="s">
        <v>411</v>
      </c>
      <c r="W844" s="314" t="s">
        <v>63</v>
      </c>
      <c r="X844" s="334" t="s">
        <v>2535</v>
      </c>
      <c r="Y844" s="313">
        <v>43126</v>
      </c>
      <c r="Z844" s="315">
        <v>54686940</v>
      </c>
      <c r="AA844" s="316" t="s">
        <v>2402</v>
      </c>
      <c r="AB844" s="317">
        <v>577</v>
      </c>
      <c r="AC844" s="313">
        <v>43126</v>
      </c>
      <c r="AD844" s="312">
        <v>54686940</v>
      </c>
      <c r="AE844" s="318">
        <f t="shared" si="92"/>
        <v>0</v>
      </c>
      <c r="AF844" s="317">
        <v>533</v>
      </c>
      <c r="AG844" s="313">
        <v>43133</v>
      </c>
      <c r="AH844" s="312">
        <v>54686940</v>
      </c>
      <c r="AI844" s="306" t="s">
        <v>2536</v>
      </c>
      <c r="AJ844" s="306">
        <v>515</v>
      </c>
      <c r="AK844" s="318">
        <f t="shared" si="95"/>
        <v>0</v>
      </c>
      <c r="AL844" s="312">
        <f t="shared" si="97"/>
        <v>54686940</v>
      </c>
      <c r="AM844" s="312">
        <f t="shared" si="93"/>
        <v>0</v>
      </c>
      <c r="AN844" s="306" t="s">
        <v>1863</v>
      </c>
      <c r="AO844" s="312">
        <f t="shared" si="94"/>
        <v>0</v>
      </c>
      <c r="AP844" s="306"/>
      <c r="AQ844" s="306"/>
      <c r="AR844" s="306"/>
      <c r="AS844" s="306"/>
      <c r="AT844" s="306"/>
    </row>
    <row r="845" spans="1:46" ht="76.5" x14ac:dyDescent="0.25">
      <c r="A845" s="306">
        <v>250</v>
      </c>
      <c r="B845" s="306" t="str">
        <f t="shared" si="91"/>
        <v>3075-250</v>
      </c>
      <c r="C845" s="307" t="s">
        <v>1852</v>
      </c>
      <c r="D845" s="308" t="s">
        <v>1853</v>
      </c>
      <c r="E845" s="308" t="s">
        <v>2119</v>
      </c>
      <c r="F845" s="307" t="s">
        <v>1880</v>
      </c>
      <c r="G845" s="327" t="s">
        <v>1881</v>
      </c>
      <c r="H845" s="310" t="s">
        <v>2120</v>
      </c>
      <c r="I845" s="308" t="s">
        <v>1858</v>
      </c>
      <c r="J845" s="308" t="s">
        <v>1859</v>
      </c>
      <c r="K845" s="308" t="s">
        <v>63</v>
      </c>
      <c r="L845" s="306" t="s">
        <v>1860</v>
      </c>
      <c r="M845" s="306" t="s">
        <v>59</v>
      </c>
      <c r="N845" s="306" t="s">
        <v>60</v>
      </c>
      <c r="O845" s="308" t="s">
        <v>1910</v>
      </c>
      <c r="P845" s="306" t="s">
        <v>2537</v>
      </c>
      <c r="Q845" s="315">
        <v>54686940</v>
      </c>
      <c r="R845" s="333">
        <v>1</v>
      </c>
      <c r="S845" s="312">
        <v>54686940</v>
      </c>
      <c r="T845" s="306" t="s">
        <v>1876</v>
      </c>
      <c r="U845" s="306" t="s">
        <v>1876</v>
      </c>
      <c r="V845" s="313" t="s">
        <v>411</v>
      </c>
      <c r="W845" s="314" t="s">
        <v>63</v>
      </c>
      <c r="X845" s="334" t="s">
        <v>2538</v>
      </c>
      <c r="Y845" s="313">
        <v>43126</v>
      </c>
      <c r="Z845" s="315">
        <v>54686940</v>
      </c>
      <c r="AA845" s="316" t="s">
        <v>2402</v>
      </c>
      <c r="AB845" s="317">
        <v>578</v>
      </c>
      <c r="AC845" s="313">
        <v>43126</v>
      </c>
      <c r="AD845" s="312">
        <v>54686940</v>
      </c>
      <c r="AE845" s="318">
        <f t="shared" si="92"/>
        <v>0</v>
      </c>
      <c r="AF845" s="317">
        <v>1367</v>
      </c>
      <c r="AG845" s="313">
        <v>43147</v>
      </c>
      <c r="AH845" s="312">
        <v>54686940</v>
      </c>
      <c r="AI845" s="306" t="s">
        <v>2539</v>
      </c>
      <c r="AJ845" s="306">
        <v>1269</v>
      </c>
      <c r="AK845" s="318">
        <f t="shared" si="95"/>
        <v>0</v>
      </c>
      <c r="AL845" s="312">
        <f t="shared" si="97"/>
        <v>54686940</v>
      </c>
      <c r="AM845" s="312">
        <f t="shared" si="93"/>
        <v>0</v>
      </c>
      <c r="AN845" s="306" t="s">
        <v>1863</v>
      </c>
      <c r="AO845" s="312">
        <f t="shared" si="94"/>
        <v>0</v>
      </c>
      <c r="AP845" s="306"/>
      <c r="AQ845" s="306"/>
      <c r="AR845" s="306"/>
      <c r="AS845" s="306"/>
      <c r="AT845" s="306"/>
    </row>
    <row r="846" spans="1:46" ht="76.5" x14ac:dyDescent="0.25">
      <c r="A846" s="306">
        <v>251</v>
      </c>
      <c r="B846" s="306" t="str">
        <f t="shared" si="91"/>
        <v>3075-251</v>
      </c>
      <c r="C846" s="307" t="s">
        <v>1852</v>
      </c>
      <c r="D846" s="308" t="s">
        <v>1853</v>
      </c>
      <c r="E846" s="308" t="s">
        <v>2119</v>
      </c>
      <c r="F846" s="307" t="s">
        <v>1880</v>
      </c>
      <c r="G846" s="327" t="s">
        <v>1881</v>
      </c>
      <c r="H846" s="310" t="s">
        <v>2120</v>
      </c>
      <c r="I846" s="308" t="s">
        <v>1858</v>
      </c>
      <c r="J846" s="308" t="s">
        <v>1859</v>
      </c>
      <c r="K846" s="308" t="s">
        <v>63</v>
      </c>
      <c r="L846" s="306" t="s">
        <v>1860</v>
      </c>
      <c r="M846" s="306" t="s">
        <v>59</v>
      </c>
      <c r="N846" s="306" t="s">
        <v>60</v>
      </c>
      <c r="O846" s="308" t="s">
        <v>1910</v>
      </c>
      <c r="P846" s="306" t="s">
        <v>2540</v>
      </c>
      <c r="Q846" s="315">
        <v>54686940</v>
      </c>
      <c r="R846" s="333">
        <v>1</v>
      </c>
      <c r="S846" s="312">
        <v>54686940</v>
      </c>
      <c r="T846" s="306" t="s">
        <v>1876</v>
      </c>
      <c r="U846" s="306" t="s">
        <v>1876</v>
      </c>
      <c r="V846" s="313" t="s">
        <v>411</v>
      </c>
      <c r="W846" s="314" t="s">
        <v>63</v>
      </c>
      <c r="X846" s="334" t="s">
        <v>2541</v>
      </c>
      <c r="Y846" s="313">
        <v>43126</v>
      </c>
      <c r="Z846" s="315">
        <v>54686940</v>
      </c>
      <c r="AA846" s="316" t="s">
        <v>2402</v>
      </c>
      <c r="AB846" s="317">
        <v>573</v>
      </c>
      <c r="AC846" s="313">
        <v>43126</v>
      </c>
      <c r="AD846" s="312">
        <v>54686940</v>
      </c>
      <c r="AE846" s="318">
        <f t="shared" si="92"/>
        <v>0</v>
      </c>
      <c r="AF846" s="317">
        <v>1455</v>
      </c>
      <c r="AG846" s="313">
        <v>43153</v>
      </c>
      <c r="AH846" s="312">
        <v>54686940</v>
      </c>
      <c r="AI846" s="306" t="s">
        <v>2542</v>
      </c>
      <c r="AJ846" s="306">
        <v>1357</v>
      </c>
      <c r="AK846" s="318">
        <f t="shared" si="95"/>
        <v>0</v>
      </c>
      <c r="AL846" s="312">
        <f t="shared" si="97"/>
        <v>54686940</v>
      </c>
      <c r="AM846" s="312">
        <f t="shared" si="93"/>
        <v>0</v>
      </c>
      <c r="AN846" s="306" t="s">
        <v>1863</v>
      </c>
      <c r="AO846" s="312">
        <f t="shared" si="94"/>
        <v>0</v>
      </c>
      <c r="AP846" s="306"/>
      <c r="AQ846" s="306"/>
      <c r="AR846" s="306"/>
      <c r="AS846" s="306"/>
      <c r="AT846" s="306"/>
    </row>
    <row r="847" spans="1:46" ht="76.5" x14ac:dyDescent="0.25">
      <c r="A847" s="306">
        <v>252</v>
      </c>
      <c r="B847" s="306" t="str">
        <f t="shared" si="91"/>
        <v>3075-252</v>
      </c>
      <c r="C847" s="307" t="s">
        <v>1852</v>
      </c>
      <c r="D847" s="308" t="s">
        <v>1853</v>
      </c>
      <c r="E847" s="308" t="s">
        <v>2119</v>
      </c>
      <c r="F847" s="307" t="s">
        <v>1880</v>
      </c>
      <c r="G847" s="327" t="s">
        <v>1881</v>
      </c>
      <c r="H847" s="310" t="s">
        <v>2120</v>
      </c>
      <c r="I847" s="308" t="s">
        <v>1858</v>
      </c>
      <c r="J847" s="308" t="s">
        <v>1859</v>
      </c>
      <c r="K847" s="308" t="s">
        <v>63</v>
      </c>
      <c r="L847" s="306" t="s">
        <v>1860</v>
      </c>
      <c r="M847" s="306" t="s">
        <v>59</v>
      </c>
      <c r="N847" s="306" t="s">
        <v>60</v>
      </c>
      <c r="O847" s="308" t="s">
        <v>1910</v>
      </c>
      <c r="P847" s="306" t="s">
        <v>2543</v>
      </c>
      <c r="Q847" s="315">
        <v>54686940</v>
      </c>
      <c r="R847" s="333">
        <v>1</v>
      </c>
      <c r="S847" s="312">
        <v>54686940</v>
      </c>
      <c r="T847" s="306" t="s">
        <v>1876</v>
      </c>
      <c r="U847" s="306" t="s">
        <v>1876</v>
      </c>
      <c r="V847" s="313" t="s">
        <v>411</v>
      </c>
      <c r="W847" s="314" t="s">
        <v>63</v>
      </c>
      <c r="X847" s="334" t="s">
        <v>2544</v>
      </c>
      <c r="Y847" s="313">
        <v>43126</v>
      </c>
      <c r="Z847" s="315">
        <v>54686940</v>
      </c>
      <c r="AA847" s="316" t="s">
        <v>2402</v>
      </c>
      <c r="AB847" s="317">
        <v>576</v>
      </c>
      <c r="AC847" s="313">
        <v>43126</v>
      </c>
      <c r="AD847" s="312">
        <v>54686940</v>
      </c>
      <c r="AE847" s="318">
        <f t="shared" si="92"/>
        <v>0</v>
      </c>
      <c r="AF847" s="317">
        <v>1383</v>
      </c>
      <c r="AG847" s="313">
        <v>43150</v>
      </c>
      <c r="AH847" s="312">
        <v>54686940</v>
      </c>
      <c r="AI847" s="306" t="s">
        <v>2483</v>
      </c>
      <c r="AJ847" s="306">
        <v>1280</v>
      </c>
      <c r="AK847" s="318">
        <f t="shared" si="95"/>
        <v>0</v>
      </c>
      <c r="AL847" s="312">
        <f t="shared" si="97"/>
        <v>54686940</v>
      </c>
      <c r="AM847" s="312">
        <f t="shared" si="93"/>
        <v>0</v>
      </c>
      <c r="AN847" s="306" t="s">
        <v>1863</v>
      </c>
      <c r="AO847" s="312">
        <f t="shared" si="94"/>
        <v>0</v>
      </c>
      <c r="AP847" s="306"/>
      <c r="AQ847" s="306"/>
      <c r="AR847" s="306"/>
      <c r="AS847" s="306"/>
      <c r="AT847" s="306"/>
    </row>
    <row r="848" spans="1:46" ht="76.5" x14ac:dyDescent="0.25">
      <c r="A848" s="306">
        <v>253</v>
      </c>
      <c r="B848" s="306" t="str">
        <f t="shared" si="91"/>
        <v>3075-253</v>
      </c>
      <c r="C848" s="307" t="s">
        <v>1852</v>
      </c>
      <c r="D848" s="308" t="s">
        <v>1853</v>
      </c>
      <c r="E848" s="308" t="s">
        <v>2119</v>
      </c>
      <c r="F848" s="307" t="s">
        <v>1880</v>
      </c>
      <c r="G848" s="327" t="s">
        <v>1881</v>
      </c>
      <c r="H848" s="310" t="s">
        <v>2120</v>
      </c>
      <c r="I848" s="308" t="s">
        <v>1858</v>
      </c>
      <c r="J848" s="308" t="s">
        <v>1859</v>
      </c>
      <c r="K848" s="308" t="s">
        <v>63</v>
      </c>
      <c r="L848" s="306" t="s">
        <v>1860</v>
      </c>
      <c r="M848" s="306" t="s">
        <v>59</v>
      </c>
      <c r="N848" s="306" t="s">
        <v>60</v>
      </c>
      <c r="O848" s="308" t="s">
        <v>1910</v>
      </c>
      <c r="P848" s="306" t="s">
        <v>2545</v>
      </c>
      <c r="Q848" s="315">
        <v>54686940</v>
      </c>
      <c r="R848" s="333">
        <v>1</v>
      </c>
      <c r="S848" s="312">
        <v>54686940</v>
      </c>
      <c r="T848" s="306" t="s">
        <v>1876</v>
      </c>
      <c r="U848" s="306" t="s">
        <v>1876</v>
      </c>
      <c r="V848" s="313" t="s">
        <v>411</v>
      </c>
      <c r="W848" s="314" t="s">
        <v>63</v>
      </c>
      <c r="X848" s="334" t="s">
        <v>2546</v>
      </c>
      <c r="Y848" s="313">
        <v>43126</v>
      </c>
      <c r="Z848" s="315">
        <v>54686940</v>
      </c>
      <c r="AA848" s="316" t="s">
        <v>2402</v>
      </c>
      <c r="AB848" s="317">
        <v>579</v>
      </c>
      <c r="AC848" s="313">
        <v>43126</v>
      </c>
      <c r="AD848" s="312">
        <v>54686940</v>
      </c>
      <c r="AE848" s="318">
        <f t="shared" si="92"/>
        <v>0</v>
      </c>
      <c r="AF848" s="317">
        <v>1025</v>
      </c>
      <c r="AG848" s="313">
        <v>43140</v>
      </c>
      <c r="AH848" s="312">
        <v>54686940</v>
      </c>
      <c r="AI848" s="306" t="s">
        <v>2547</v>
      </c>
      <c r="AJ848" s="306">
        <v>761</v>
      </c>
      <c r="AK848" s="318">
        <f t="shared" si="95"/>
        <v>0</v>
      </c>
      <c r="AL848" s="312">
        <f t="shared" si="97"/>
        <v>54686940</v>
      </c>
      <c r="AM848" s="312">
        <f t="shared" si="93"/>
        <v>0</v>
      </c>
      <c r="AN848" s="306" t="s">
        <v>1863</v>
      </c>
      <c r="AO848" s="312">
        <f t="shared" si="94"/>
        <v>0</v>
      </c>
      <c r="AP848" s="306"/>
      <c r="AQ848" s="306"/>
      <c r="AR848" s="306"/>
      <c r="AS848" s="306"/>
      <c r="AT848" s="306"/>
    </row>
    <row r="849" spans="1:46" ht="76.5" x14ac:dyDescent="0.25">
      <c r="A849" s="306">
        <v>254</v>
      </c>
      <c r="B849" s="306" t="str">
        <f t="shared" si="91"/>
        <v>3075-254</v>
      </c>
      <c r="C849" s="307" t="s">
        <v>1852</v>
      </c>
      <c r="D849" s="308" t="s">
        <v>1853</v>
      </c>
      <c r="E849" s="308" t="s">
        <v>2119</v>
      </c>
      <c r="F849" s="307" t="s">
        <v>1880</v>
      </c>
      <c r="G849" s="327" t="s">
        <v>1881</v>
      </c>
      <c r="H849" s="310" t="s">
        <v>2120</v>
      </c>
      <c r="I849" s="308" t="s">
        <v>1858</v>
      </c>
      <c r="J849" s="308" t="s">
        <v>1859</v>
      </c>
      <c r="K849" s="308" t="s">
        <v>63</v>
      </c>
      <c r="L849" s="306" t="s">
        <v>1860</v>
      </c>
      <c r="M849" s="306" t="s">
        <v>59</v>
      </c>
      <c r="N849" s="306" t="s">
        <v>60</v>
      </c>
      <c r="O849" s="308" t="s">
        <v>1910</v>
      </c>
      <c r="P849" s="306" t="s">
        <v>2548</v>
      </c>
      <c r="Q849" s="315">
        <v>54686940</v>
      </c>
      <c r="R849" s="333">
        <v>1</v>
      </c>
      <c r="S849" s="312">
        <v>54686940</v>
      </c>
      <c r="T849" s="306" t="s">
        <v>1876</v>
      </c>
      <c r="U849" s="306" t="s">
        <v>1876</v>
      </c>
      <c r="V849" s="313" t="s">
        <v>411</v>
      </c>
      <c r="W849" s="314" t="s">
        <v>63</v>
      </c>
      <c r="X849" s="334" t="s">
        <v>2549</v>
      </c>
      <c r="Y849" s="313">
        <v>43126</v>
      </c>
      <c r="Z849" s="315">
        <v>54686940</v>
      </c>
      <c r="AA849" s="316" t="s">
        <v>2402</v>
      </c>
      <c r="AB849" s="317">
        <v>581</v>
      </c>
      <c r="AC849" s="313">
        <v>43126</v>
      </c>
      <c r="AD849" s="312">
        <v>54686940</v>
      </c>
      <c r="AE849" s="318">
        <f t="shared" si="92"/>
        <v>0</v>
      </c>
      <c r="AF849" s="317">
        <v>1016</v>
      </c>
      <c r="AG849" s="313">
        <v>43140</v>
      </c>
      <c r="AH849" s="312">
        <v>54686940</v>
      </c>
      <c r="AI849" s="306" t="s">
        <v>2550</v>
      </c>
      <c r="AJ849" s="306">
        <v>767</v>
      </c>
      <c r="AK849" s="318">
        <f t="shared" si="95"/>
        <v>0</v>
      </c>
      <c r="AL849" s="312">
        <f t="shared" si="97"/>
        <v>54686940</v>
      </c>
      <c r="AM849" s="312">
        <f t="shared" si="93"/>
        <v>0</v>
      </c>
      <c r="AN849" s="306" t="s">
        <v>1863</v>
      </c>
      <c r="AO849" s="312">
        <f t="shared" si="94"/>
        <v>0</v>
      </c>
      <c r="AP849" s="306"/>
      <c r="AQ849" s="306"/>
      <c r="AR849" s="306"/>
      <c r="AS849" s="306"/>
      <c r="AT849" s="306"/>
    </row>
    <row r="850" spans="1:46" ht="76.5" x14ac:dyDescent="0.25">
      <c r="A850" s="306">
        <v>255</v>
      </c>
      <c r="B850" s="306" t="str">
        <f t="shared" si="91"/>
        <v>3075-255</v>
      </c>
      <c r="C850" s="307" t="s">
        <v>1852</v>
      </c>
      <c r="D850" s="308" t="s">
        <v>1853</v>
      </c>
      <c r="E850" s="308" t="s">
        <v>2119</v>
      </c>
      <c r="F850" s="307" t="s">
        <v>1880</v>
      </c>
      <c r="G850" s="327" t="s">
        <v>1881</v>
      </c>
      <c r="H850" s="310" t="s">
        <v>2120</v>
      </c>
      <c r="I850" s="308" t="s">
        <v>1858</v>
      </c>
      <c r="J850" s="308" t="s">
        <v>1859</v>
      </c>
      <c r="K850" s="308" t="s">
        <v>63</v>
      </c>
      <c r="L850" s="306" t="s">
        <v>1860</v>
      </c>
      <c r="M850" s="306" t="s">
        <v>59</v>
      </c>
      <c r="N850" s="306" t="s">
        <v>60</v>
      </c>
      <c r="O850" s="308" t="s">
        <v>1910</v>
      </c>
      <c r="P850" s="306" t="s">
        <v>2551</v>
      </c>
      <c r="Q850" s="315">
        <v>54686940</v>
      </c>
      <c r="R850" s="333">
        <v>1</v>
      </c>
      <c r="S850" s="312">
        <v>54686940</v>
      </c>
      <c r="T850" s="306" t="s">
        <v>1876</v>
      </c>
      <c r="U850" s="306" t="s">
        <v>1876</v>
      </c>
      <c r="V850" s="313" t="s">
        <v>411</v>
      </c>
      <c r="W850" s="314" t="s">
        <v>63</v>
      </c>
      <c r="X850" s="334" t="s">
        <v>2552</v>
      </c>
      <c r="Y850" s="313">
        <v>43126</v>
      </c>
      <c r="Z850" s="315">
        <v>54686940</v>
      </c>
      <c r="AA850" s="316" t="s">
        <v>2402</v>
      </c>
      <c r="AB850" s="317">
        <v>584</v>
      </c>
      <c r="AC850" s="313">
        <v>43126</v>
      </c>
      <c r="AD850" s="312">
        <v>54686940</v>
      </c>
      <c r="AE850" s="318">
        <f t="shared" si="92"/>
        <v>0</v>
      </c>
      <c r="AF850" s="317">
        <v>834</v>
      </c>
      <c r="AG850" s="313">
        <v>43138</v>
      </c>
      <c r="AH850" s="312">
        <v>54686940</v>
      </c>
      <c r="AI850" s="306" t="s">
        <v>2553</v>
      </c>
      <c r="AJ850" s="306">
        <v>601</v>
      </c>
      <c r="AK850" s="318">
        <f t="shared" si="95"/>
        <v>0</v>
      </c>
      <c r="AL850" s="312">
        <f t="shared" si="97"/>
        <v>54686940</v>
      </c>
      <c r="AM850" s="312">
        <f t="shared" si="93"/>
        <v>0</v>
      </c>
      <c r="AN850" s="306" t="s">
        <v>1863</v>
      </c>
      <c r="AO850" s="312">
        <f t="shared" si="94"/>
        <v>0</v>
      </c>
      <c r="AP850" s="306"/>
      <c r="AQ850" s="306"/>
      <c r="AR850" s="306"/>
      <c r="AS850" s="306"/>
      <c r="AT850" s="306"/>
    </row>
    <row r="851" spans="1:46" ht="76.5" x14ac:dyDescent="0.25">
      <c r="A851" s="306">
        <v>256</v>
      </c>
      <c r="B851" s="306" t="str">
        <f t="shared" si="91"/>
        <v>3075-256</v>
      </c>
      <c r="C851" s="307" t="s">
        <v>1852</v>
      </c>
      <c r="D851" s="308" t="s">
        <v>1853</v>
      </c>
      <c r="E851" s="308" t="s">
        <v>2119</v>
      </c>
      <c r="F851" s="307" t="s">
        <v>1880</v>
      </c>
      <c r="G851" s="327" t="s">
        <v>1881</v>
      </c>
      <c r="H851" s="310" t="s">
        <v>2120</v>
      </c>
      <c r="I851" s="308" t="s">
        <v>1858</v>
      </c>
      <c r="J851" s="308" t="s">
        <v>1859</v>
      </c>
      <c r="K851" s="308" t="s">
        <v>63</v>
      </c>
      <c r="L851" s="306" t="s">
        <v>1860</v>
      </c>
      <c r="M851" s="306" t="s">
        <v>59</v>
      </c>
      <c r="N851" s="306" t="s">
        <v>60</v>
      </c>
      <c r="O851" s="308" t="s">
        <v>1910</v>
      </c>
      <c r="P851" s="306" t="s">
        <v>2554</v>
      </c>
      <c r="Q851" s="315">
        <v>54686940</v>
      </c>
      <c r="R851" s="333">
        <v>1</v>
      </c>
      <c r="S851" s="312">
        <v>54686940</v>
      </c>
      <c r="T851" s="306" t="s">
        <v>1876</v>
      </c>
      <c r="U851" s="306" t="s">
        <v>1876</v>
      </c>
      <c r="V851" s="313" t="s">
        <v>411</v>
      </c>
      <c r="W851" s="314" t="s">
        <v>63</v>
      </c>
      <c r="X851" s="334" t="s">
        <v>2555</v>
      </c>
      <c r="Y851" s="313">
        <v>43126</v>
      </c>
      <c r="Z851" s="315">
        <v>54686940</v>
      </c>
      <c r="AA851" s="316" t="s">
        <v>2402</v>
      </c>
      <c r="AB851" s="317">
        <v>586</v>
      </c>
      <c r="AC851" s="313">
        <v>43126</v>
      </c>
      <c r="AD851" s="312">
        <v>54686940</v>
      </c>
      <c r="AE851" s="318">
        <f t="shared" si="92"/>
        <v>0</v>
      </c>
      <c r="AF851" s="317">
        <v>1026</v>
      </c>
      <c r="AG851" s="313">
        <v>43140</v>
      </c>
      <c r="AH851" s="312">
        <v>54686940</v>
      </c>
      <c r="AI851" s="306" t="s">
        <v>2556</v>
      </c>
      <c r="AJ851" s="306">
        <v>759</v>
      </c>
      <c r="AK851" s="318">
        <f t="shared" si="95"/>
        <v>0</v>
      </c>
      <c r="AL851" s="312">
        <f t="shared" si="97"/>
        <v>54686940</v>
      </c>
      <c r="AM851" s="312">
        <f t="shared" si="93"/>
        <v>0</v>
      </c>
      <c r="AN851" s="306" t="s">
        <v>1863</v>
      </c>
      <c r="AO851" s="312">
        <f t="shared" si="94"/>
        <v>0</v>
      </c>
      <c r="AP851" s="306"/>
      <c r="AQ851" s="306"/>
      <c r="AR851" s="306"/>
      <c r="AS851" s="306"/>
      <c r="AT851" s="306"/>
    </row>
    <row r="852" spans="1:46" ht="76.5" x14ac:dyDescent="0.25">
      <c r="A852" s="306">
        <v>257</v>
      </c>
      <c r="B852" s="306" t="str">
        <f t="shared" ref="B852:B915" si="98">CONCATENATE("3075","-",A852)</f>
        <v>3075-257</v>
      </c>
      <c r="C852" s="307" t="s">
        <v>1852</v>
      </c>
      <c r="D852" s="308" t="s">
        <v>1853</v>
      </c>
      <c r="E852" s="308" t="s">
        <v>2119</v>
      </c>
      <c r="F852" s="307" t="s">
        <v>1880</v>
      </c>
      <c r="G852" s="327" t="s">
        <v>1881</v>
      </c>
      <c r="H852" s="310" t="s">
        <v>2120</v>
      </c>
      <c r="I852" s="308" t="s">
        <v>1858</v>
      </c>
      <c r="J852" s="308" t="s">
        <v>1859</v>
      </c>
      <c r="K852" s="308" t="s">
        <v>63</v>
      </c>
      <c r="L852" s="306" t="s">
        <v>1860</v>
      </c>
      <c r="M852" s="306" t="s">
        <v>59</v>
      </c>
      <c r="N852" s="306" t="s">
        <v>60</v>
      </c>
      <c r="O852" s="308" t="s">
        <v>1910</v>
      </c>
      <c r="P852" s="306" t="s">
        <v>2557</v>
      </c>
      <c r="Q852" s="315">
        <v>54686940</v>
      </c>
      <c r="R852" s="333">
        <v>1</v>
      </c>
      <c r="S852" s="312">
        <v>54686940</v>
      </c>
      <c r="T852" s="306" t="s">
        <v>1876</v>
      </c>
      <c r="U852" s="306" t="s">
        <v>1876</v>
      </c>
      <c r="V852" s="313" t="s">
        <v>411</v>
      </c>
      <c r="W852" s="314" t="s">
        <v>63</v>
      </c>
      <c r="X852" s="334" t="s">
        <v>2558</v>
      </c>
      <c r="Y852" s="313">
        <v>43126</v>
      </c>
      <c r="Z852" s="315">
        <v>54686940</v>
      </c>
      <c r="AA852" s="316" t="s">
        <v>2402</v>
      </c>
      <c r="AB852" s="317">
        <v>587</v>
      </c>
      <c r="AC852" s="313">
        <v>43126</v>
      </c>
      <c r="AD852" s="312">
        <v>54686940</v>
      </c>
      <c r="AE852" s="318">
        <f t="shared" ref="AE852:AE885" si="99">S852-Z852</f>
        <v>0</v>
      </c>
      <c r="AF852" s="317">
        <v>833</v>
      </c>
      <c r="AG852" s="313">
        <v>43138</v>
      </c>
      <c r="AH852" s="312">
        <v>54686940</v>
      </c>
      <c r="AI852" s="306" t="s">
        <v>2559</v>
      </c>
      <c r="AJ852" s="306">
        <v>600</v>
      </c>
      <c r="AK852" s="318">
        <f t="shared" si="95"/>
        <v>0</v>
      </c>
      <c r="AL852" s="312">
        <f t="shared" si="97"/>
        <v>54686940</v>
      </c>
      <c r="AM852" s="312">
        <f t="shared" ref="AM852:AM915" si="100">AH852-AL852</f>
        <v>0</v>
      </c>
      <c r="AN852" s="306" t="s">
        <v>1863</v>
      </c>
      <c r="AO852" s="312">
        <f t="shared" ref="AO852:AO915" si="101">S852-AH852</f>
        <v>0</v>
      </c>
      <c r="AP852" s="306"/>
      <c r="AQ852" s="306"/>
      <c r="AR852" s="306"/>
      <c r="AS852" s="306"/>
      <c r="AT852" s="306"/>
    </row>
    <row r="853" spans="1:46" ht="76.5" x14ac:dyDescent="0.25">
      <c r="A853" s="306">
        <v>258</v>
      </c>
      <c r="B853" s="306" t="str">
        <f t="shared" si="98"/>
        <v>3075-258</v>
      </c>
      <c r="C853" s="307" t="s">
        <v>1852</v>
      </c>
      <c r="D853" s="308" t="s">
        <v>1853</v>
      </c>
      <c r="E853" s="308" t="s">
        <v>2119</v>
      </c>
      <c r="F853" s="307" t="s">
        <v>1880</v>
      </c>
      <c r="G853" s="327" t="s">
        <v>1881</v>
      </c>
      <c r="H853" s="310" t="s">
        <v>2120</v>
      </c>
      <c r="I853" s="308" t="s">
        <v>1858</v>
      </c>
      <c r="J853" s="308" t="s">
        <v>1859</v>
      </c>
      <c r="K853" s="308" t="s">
        <v>63</v>
      </c>
      <c r="L853" s="306" t="s">
        <v>1860</v>
      </c>
      <c r="M853" s="306" t="s">
        <v>59</v>
      </c>
      <c r="N853" s="306" t="s">
        <v>60</v>
      </c>
      <c r="O853" s="308" t="s">
        <v>1910</v>
      </c>
      <c r="P853" s="306" t="s">
        <v>2560</v>
      </c>
      <c r="Q853" s="315">
        <v>54686940</v>
      </c>
      <c r="R853" s="333">
        <v>1</v>
      </c>
      <c r="S853" s="312">
        <v>54686940</v>
      </c>
      <c r="T853" s="306" t="s">
        <v>1876</v>
      </c>
      <c r="U853" s="306" t="s">
        <v>1876</v>
      </c>
      <c r="V853" s="313" t="s">
        <v>411</v>
      </c>
      <c r="W853" s="314" t="s">
        <v>63</v>
      </c>
      <c r="X853" s="334" t="s">
        <v>2561</v>
      </c>
      <c r="Y853" s="313">
        <v>43126</v>
      </c>
      <c r="Z853" s="315">
        <v>54686940</v>
      </c>
      <c r="AA853" s="316" t="s">
        <v>2402</v>
      </c>
      <c r="AB853" s="317">
        <v>589</v>
      </c>
      <c r="AC853" s="313">
        <v>43126</v>
      </c>
      <c r="AD853" s="312">
        <v>54686940</v>
      </c>
      <c r="AE853" s="318">
        <f t="shared" si="99"/>
        <v>0</v>
      </c>
      <c r="AF853" s="317">
        <v>1371</v>
      </c>
      <c r="AG853" s="313">
        <v>43147</v>
      </c>
      <c r="AH853" s="312">
        <v>54686940</v>
      </c>
      <c r="AI853" s="306" t="s">
        <v>2562</v>
      </c>
      <c r="AJ853" s="306">
        <v>1273</v>
      </c>
      <c r="AK853" s="318">
        <f t="shared" ref="AK853:AK916" si="102">AD853-AH853</f>
        <v>0</v>
      </c>
      <c r="AL853" s="312">
        <f t="shared" si="97"/>
        <v>54686940</v>
      </c>
      <c r="AM853" s="312">
        <f t="shared" si="100"/>
        <v>0</v>
      </c>
      <c r="AN853" s="306" t="s">
        <v>1863</v>
      </c>
      <c r="AO853" s="312">
        <f t="shared" si="101"/>
        <v>0</v>
      </c>
      <c r="AP853" s="306"/>
      <c r="AQ853" s="306"/>
      <c r="AR853" s="306"/>
      <c r="AS853" s="306"/>
      <c r="AT853" s="306"/>
    </row>
    <row r="854" spans="1:46" ht="76.5" x14ac:dyDescent="0.25">
      <c r="A854" s="306">
        <v>259</v>
      </c>
      <c r="B854" s="306" t="str">
        <f t="shared" si="98"/>
        <v>3075-259</v>
      </c>
      <c r="C854" s="307" t="s">
        <v>1852</v>
      </c>
      <c r="D854" s="308" t="s">
        <v>1853</v>
      </c>
      <c r="E854" s="308" t="s">
        <v>2119</v>
      </c>
      <c r="F854" s="307" t="s">
        <v>1880</v>
      </c>
      <c r="G854" s="327" t="s">
        <v>1881</v>
      </c>
      <c r="H854" s="310" t="s">
        <v>2120</v>
      </c>
      <c r="I854" s="308" t="s">
        <v>1858</v>
      </c>
      <c r="J854" s="308" t="s">
        <v>1859</v>
      </c>
      <c r="K854" s="308" t="s">
        <v>63</v>
      </c>
      <c r="L854" s="306" t="s">
        <v>1860</v>
      </c>
      <c r="M854" s="306" t="s">
        <v>59</v>
      </c>
      <c r="N854" s="306" t="s">
        <v>60</v>
      </c>
      <c r="O854" s="308" t="s">
        <v>1910</v>
      </c>
      <c r="P854" s="306" t="s">
        <v>2563</v>
      </c>
      <c r="Q854" s="315">
        <v>54686940</v>
      </c>
      <c r="R854" s="333">
        <v>1</v>
      </c>
      <c r="S854" s="312">
        <v>54686940</v>
      </c>
      <c r="T854" s="306" t="s">
        <v>1876</v>
      </c>
      <c r="U854" s="306" t="s">
        <v>1876</v>
      </c>
      <c r="V854" s="313" t="s">
        <v>411</v>
      </c>
      <c r="W854" s="314" t="s">
        <v>63</v>
      </c>
      <c r="X854" s="334" t="s">
        <v>2564</v>
      </c>
      <c r="Y854" s="313">
        <v>43126</v>
      </c>
      <c r="Z854" s="315">
        <v>54686940</v>
      </c>
      <c r="AA854" s="316" t="s">
        <v>2402</v>
      </c>
      <c r="AB854" s="317">
        <v>580</v>
      </c>
      <c r="AC854" s="313">
        <v>43126</v>
      </c>
      <c r="AD854" s="312">
        <v>54686940</v>
      </c>
      <c r="AE854" s="318">
        <f t="shared" si="99"/>
        <v>0</v>
      </c>
      <c r="AF854" s="317">
        <v>1023</v>
      </c>
      <c r="AG854" s="313">
        <v>43140</v>
      </c>
      <c r="AH854" s="312">
        <v>54686940</v>
      </c>
      <c r="AI854" s="306" t="s">
        <v>2565</v>
      </c>
      <c r="AJ854" s="306">
        <v>763</v>
      </c>
      <c r="AK854" s="318">
        <f t="shared" si="102"/>
        <v>0</v>
      </c>
      <c r="AL854" s="312">
        <f t="shared" si="97"/>
        <v>0</v>
      </c>
      <c r="AM854" s="312">
        <f t="shared" si="100"/>
        <v>54686940</v>
      </c>
      <c r="AN854" s="306" t="s">
        <v>1863</v>
      </c>
      <c r="AO854" s="312">
        <f t="shared" si="101"/>
        <v>0</v>
      </c>
      <c r="AP854" s="306"/>
      <c r="AQ854" s="306"/>
      <c r="AR854" s="306"/>
      <c r="AS854" s="306"/>
      <c r="AT854" s="306"/>
    </row>
    <row r="855" spans="1:46" ht="76.5" x14ac:dyDescent="0.25">
      <c r="A855" s="306">
        <v>260</v>
      </c>
      <c r="B855" s="306" t="str">
        <f t="shared" si="98"/>
        <v>3075-260</v>
      </c>
      <c r="C855" s="307" t="s">
        <v>1852</v>
      </c>
      <c r="D855" s="308" t="s">
        <v>1853</v>
      </c>
      <c r="E855" s="308" t="s">
        <v>2119</v>
      </c>
      <c r="F855" s="307" t="s">
        <v>1880</v>
      </c>
      <c r="G855" s="327" t="s">
        <v>1881</v>
      </c>
      <c r="H855" s="310" t="s">
        <v>2120</v>
      </c>
      <c r="I855" s="308" t="s">
        <v>1858</v>
      </c>
      <c r="J855" s="308" t="s">
        <v>1859</v>
      </c>
      <c r="K855" s="308" t="s">
        <v>63</v>
      </c>
      <c r="L855" s="306" t="s">
        <v>1860</v>
      </c>
      <c r="M855" s="306" t="s">
        <v>59</v>
      </c>
      <c r="N855" s="306" t="s">
        <v>60</v>
      </c>
      <c r="O855" s="308" t="s">
        <v>1910</v>
      </c>
      <c r="P855" s="306" t="s">
        <v>2566</v>
      </c>
      <c r="Q855" s="315">
        <v>54686940</v>
      </c>
      <c r="R855" s="333">
        <v>1</v>
      </c>
      <c r="S855" s="312">
        <v>54686940</v>
      </c>
      <c r="T855" s="306" t="s">
        <v>1876</v>
      </c>
      <c r="U855" s="306" t="s">
        <v>1876</v>
      </c>
      <c r="V855" s="313" t="s">
        <v>411</v>
      </c>
      <c r="W855" s="314" t="s">
        <v>63</v>
      </c>
      <c r="X855" s="334" t="s">
        <v>2567</v>
      </c>
      <c r="Y855" s="313">
        <v>43126</v>
      </c>
      <c r="Z855" s="315">
        <v>54686940</v>
      </c>
      <c r="AA855" s="316" t="s">
        <v>2402</v>
      </c>
      <c r="AB855" s="317">
        <v>582</v>
      </c>
      <c r="AC855" s="313">
        <v>43126</v>
      </c>
      <c r="AD855" s="312">
        <v>54686940</v>
      </c>
      <c r="AE855" s="318">
        <f t="shared" si="99"/>
        <v>0</v>
      </c>
      <c r="AF855" s="317">
        <v>1020</v>
      </c>
      <c r="AG855" s="313">
        <v>43140</v>
      </c>
      <c r="AH855" s="312">
        <v>54686940</v>
      </c>
      <c r="AI855" s="306" t="s">
        <v>2568</v>
      </c>
      <c r="AJ855" s="306">
        <v>764</v>
      </c>
      <c r="AK855" s="318">
        <f t="shared" si="102"/>
        <v>0</v>
      </c>
      <c r="AL855" s="312">
        <f t="shared" si="97"/>
        <v>54686940</v>
      </c>
      <c r="AM855" s="312">
        <f t="shared" si="100"/>
        <v>0</v>
      </c>
      <c r="AN855" s="306" t="s">
        <v>1863</v>
      </c>
      <c r="AO855" s="312">
        <f t="shared" si="101"/>
        <v>0</v>
      </c>
      <c r="AP855" s="306"/>
      <c r="AQ855" s="306"/>
      <c r="AR855" s="306"/>
      <c r="AS855" s="306"/>
      <c r="AT855" s="306"/>
    </row>
    <row r="856" spans="1:46" ht="76.5" x14ac:dyDescent="0.25">
      <c r="A856" s="306">
        <v>261</v>
      </c>
      <c r="B856" s="306" t="str">
        <f t="shared" si="98"/>
        <v>3075-261</v>
      </c>
      <c r="C856" s="307" t="s">
        <v>1852</v>
      </c>
      <c r="D856" s="308" t="s">
        <v>1853</v>
      </c>
      <c r="E856" s="308" t="s">
        <v>2119</v>
      </c>
      <c r="F856" s="307" t="s">
        <v>1880</v>
      </c>
      <c r="G856" s="327" t="s">
        <v>1881</v>
      </c>
      <c r="H856" s="310" t="s">
        <v>2120</v>
      </c>
      <c r="I856" s="308" t="s">
        <v>1858</v>
      </c>
      <c r="J856" s="308" t="s">
        <v>1859</v>
      </c>
      <c r="K856" s="308" t="s">
        <v>63</v>
      </c>
      <c r="L856" s="306" t="s">
        <v>1860</v>
      </c>
      <c r="M856" s="306" t="s">
        <v>59</v>
      </c>
      <c r="N856" s="306" t="s">
        <v>60</v>
      </c>
      <c r="O856" s="308" t="s">
        <v>1910</v>
      </c>
      <c r="P856" s="306" t="s">
        <v>2569</v>
      </c>
      <c r="Q856" s="315">
        <v>54686940</v>
      </c>
      <c r="R856" s="333">
        <v>1</v>
      </c>
      <c r="S856" s="312">
        <v>54686940</v>
      </c>
      <c r="T856" s="306" t="s">
        <v>1876</v>
      </c>
      <c r="U856" s="306" t="s">
        <v>1876</v>
      </c>
      <c r="V856" s="313" t="s">
        <v>411</v>
      </c>
      <c r="W856" s="314" t="s">
        <v>63</v>
      </c>
      <c r="X856" s="334" t="s">
        <v>2570</v>
      </c>
      <c r="Y856" s="313">
        <v>43126</v>
      </c>
      <c r="Z856" s="315">
        <v>54686940</v>
      </c>
      <c r="AA856" s="316" t="s">
        <v>2402</v>
      </c>
      <c r="AB856" s="317">
        <v>583</v>
      </c>
      <c r="AC856" s="313">
        <v>43126</v>
      </c>
      <c r="AD856" s="312">
        <v>54686940</v>
      </c>
      <c r="AE856" s="318">
        <f t="shared" si="99"/>
        <v>0</v>
      </c>
      <c r="AF856" s="317">
        <v>733</v>
      </c>
      <c r="AG856" s="313">
        <v>43136</v>
      </c>
      <c r="AH856" s="312">
        <v>54686940</v>
      </c>
      <c r="AI856" s="306" t="s">
        <v>2571</v>
      </c>
      <c r="AJ856" s="306">
        <v>514</v>
      </c>
      <c r="AK856" s="318">
        <f t="shared" si="102"/>
        <v>0</v>
      </c>
      <c r="AL856" s="312">
        <f t="shared" si="97"/>
        <v>0</v>
      </c>
      <c r="AM856" s="312">
        <f t="shared" si="100"/>
        <v>54686940</v>
      </c>
      <c r="AN856" s="306" t="s">
        <v>1863</v>
      </c>
      <c r="AO856" s="312">
        <f t="shared" si="101"/>
        <v>0</v>
      </c>
      <c r="AP856" s="306"/>
      <c r="AQ856" s="306"/>
      <c r="AR856" s="306"/>
      <c r="AS856" s="306"/>
      <c r="AT856" s="306"/>
    </row>
    <row r="857" spans="1:46" ht="76.5" x14ac:dyDescent="0.25">
      <c r="A857" s="306">
        <v>262</v>
      </c>
      <c r="B857" s="306" t="str">
        <f t="shared" si="98"/>
        <v>3075-262</v>
      </c>
      <c r="C857" s="307" t="s">
        <v>1852</v>
      </c>
      <c r="D857" s="308" t="s">
        <v>1853</v>
      </c>
      <c r="E857" s="308" t="s">
        <v>2119</v>
      </c>
      <c r="F857" s="307" t="s">
        <v>1880</v>
      </c>
      <c r="G857" s="327" t="s">
        <v>1881</v>
      </c>
      <c r="H857" s="310" t="s">
        <v>2120</v>
      </c>
      <c r="I857" s="308" t="s">
        <v>1858</v>
      </c>
      <c r="J857" s="308" t="s">
        <v>1859</v>
      </c>
      <c r="K857" s="308" t="s">
        <v>63</v>
      </c>
      <c r="L857" s="306" t="s">
        <v>1860</v>
      </c>
      <c r="M857" s="306" t="s">
        <v>59</v>
      </c>
      <c r="N857" s="306" t="s">
        <v>60</v>
      </c>
      <c r="O857" s="308" t="s">
        <v>1910</v>
      </c>
      <c r="P857" s="306" t="s">
        <v>2572</v>
      </c>
      <c r="Q857" s="315">
        <v>54686940</v>
      </c>
      <c r="R857" s="333">
        <v>1</v>
      </c>
      <c r="S857" s="312">
        <v>54686940</v>
      </c>
      <c r="T857" s="306" t="s">
        <v>1876</v>
      </c>
      <c r="U857" s="306" t="s">
        <v>1876</v>
      </c>
      <c r="V857" s="313" t="s">
        <v>411</v>
      </c>
      <c r="W857" s="314" t="s">
        <v>63</v>
      </c>
      <c r="X857" s="334" t="s">
        <v>2573</v>
      </c>
      <c r="Y857" s="313">
        <v>43126</v>
      </c>
      <c r="Z857" s="315">
        <v>54686940</v>
      </c>
      <c r="AA857" s="316" t="s">
        <v>2402</v>
      </c>
      <c r="AB857" s="317">
        <v>585</v>
      </c>
      <c r="AC857" s="313">
        <v>43126</v>
      </c>
      <c r="AD857" s="312">
        <v>54686940</v>
      </c>
      <c r="AE857" s="318">
        <f t="shared" si="99"/>
        <v>0</v>
      </c>
      <c r="AF857" s="317">
        <v>808</v>
      </c>
      <c r="AG857" s="313">
        <v>43138</v>
      </c>
      <c r="AH857" s="312">
        <v>54686940</v>
      </c>
      <c r="AI857" s="306" t="s">
        <v>2574</v>
      </c>
      <c r="AJ857" s="306">
        <v>598</v>
      </c>
      <c r="AK857" s="318">
        <f t="shared" si="102"/>
        <v>0</v>
      </c>
      <c r="AL857" s="312">
        <f t="shared" si="97"/>
        <v>0</v>
      </c>
      <c r="AM857" s="312">
        <f t="shared" si="100"/>
        <v>54686940</v>
      </c>
      <c r="AN857" s="306" t="s">
        <v>1863</v>
      </c>
      <c r="AO857" s="312">
        <f t="shared" si="101"/>
        <v>0</v>
      </c>
      <c r="AP857" s="306"/>
      <c r="AQ857" s="306"/>
      <c r="AR857" s="306"/>
      <c r="AS857" s="306"/>
      <c r="AT857" s="306"/>
    </row>
    <row r="858" spans="1:46" ht="76.5" x14ac:dyDescent="0.25">
      <c r="A858" s="306">
        <v>263</v>
      </c>
      <c r="B858" s="306" t="str">
        <f t="shared" si="98"/>
        <v>3075-263</v>
      </c>
      <c r="C858" s="307" t="s">
        <v>1852</v>
      </c>
      <c r="D858" s="308" t="s">
        <v>1853</v>
      </c>
      <c r="E858" s="308" t="s">
        <v>2119</v>
      </c>
      <c r="F858" s="307" t="s">
        <v>1880</v>
      </c>
      <c r="G858" s="327" t="s">
        <v>1881</v>
      </c>
      <c r="H858" s="310" t="s">
        <v>2120</v>
      </c>
      <c r="I858" s="308" t="s">
        <v>1858</v>
      </c>
      <c r="J858" s="308" t="s">
        <v>1859</v>
      </c>
      <c r="K858" s="308" t="s">
        <v>63</v>
      </c>
      <c r="L858" s="306" t="s">
        <v>1860</v>
      </c>
      <c r="M858" s="306" t="s">
        <v>59</v>
      </c>
      <c r="N858" s="306" t="s">
        <v>60</v>
      </c>
      <c r="O858" s="308" t="s">
        <v>1910</v>
      </c>
      <c r="P858" s="306" t="s">
        <v>2575</v>
      </c>
      <c r="Q858" s="315">
        <v>54686940</v>
      </c>
      <c r="R858" s="333">
        <v>1</v>
      </c>
      <c r="S858" s="312">
        <v>54686940</v>
      </c>
      <c r="T858" s="306" t="s">
        <v>1876</v>
      </c>
      <c r="U858" s="306" t="s">
        <v>1876</v>
      </c>
      <c r="V858" s="313" t="s">
        <v>411</v>
      </c>
      <c r="W858" s="314" t="s">
        <v>63</v>
      </c>
      <c r="X858" s="334" t="s">
        <v>2576</v>
      </c>
      <c r="Y858" s="313">
        <v>43129</v>
      </c>
      <c r="Z858" s="312">
        <v>54686940</v>
      </c>
      <c r="AA858" s="316" t="s">
        <v>2402</v>
      </c>
      <c r="AB858" s="317">
        <v>592</v>
      </c>
      <c r="AC858" s="313">
        <v>43131</v>
      </c>
      <c r="AD858" s="312">
        <v>54686940</v>
      </c>
      <c r="AE858" s="318">
        <f t="shared" si="99"/>
        <v>0</v>
      </c>
      <c r="AF858" s="317">
        <v>1018</v>
      </c>
      <c r="AG858" s="313">
        <v>43140</v>
      </c>
      <c r="AH858" s="312">
        <v>54686940</v>
      </c>
      <c r="AI858" s="306" t="s">
        <v>2577</v>
      </c>
      <c r="AJ858" s="306">
        <v>765</v>
      </c>
      <c r="AK858" s="318">
        <f t="shared" si="102"/>
        <v>0</v>
      </c>
      <c r="AL858" s="312">
        <f t="shared" ref="AL858:AL885" si="103">VLOOKUP(AB858,RP,13,FALSE)</f>
        <v>54686940</v>
      </c>
      <c r="AM858" s="312">
        <f t="shared" si="100"/>
        <v>0</v>
      </c>
      <c r="AN858" s="306" t="s">
        <v>1863</v>
      </c>
      <c r="AO858" s="312">
        <f t="shared" si="101"/>
        <v>0</v>
      </c>
      <c r="AP858" s="306"/>
      <c r="AQ858" s="306"/>
      <c r="AR858" s="306"/>
      <c r="AS858" s="306"/>
      <c r="AT858" s="306"/>
    </row>
    <row r="859" spans="1:46" ht="76.5" x14ac:dyDescent="0.25">
      <c r="A859" s="306">
        <v>264</v>
      </c>
      <c r="B859" s="306" t="str">
        <f t="shared" si="98"/>
        <v>3075-264</v>
      </c>
      <c r="C859" s="307" t="s">
        <v>1852</v>
      </c>
      <c r="D859" s="308" t="s">
        <v>1853</v>
      </c>
      <c r="E859" s="308" t="s">
        <v>2119</v>
      </c>
      <c r="F859" s="307" t="s">
        <v>1880</v>
      </c>
      <c r="G859" s="327" t="s">
        <v>1881</v>
      </c>
      <c r="H859" s="310" t="s">
        <v>2120</v>
      </c>
      <c r="I859" s="308" t="s">
        <v>1858</v>
      </c>
      <c r="J859" s="308" t="s">
        <v>1859</v>
      </c>
      <c r="K859" s="308" t="s">
        <v>63</v>
      </c>
      <c r="L859" s="306" t="s">
        <v>1860</v>
      </c>
      <c r="M859" s="306" t="s">
        <v>59</v>
      </c>
      <c r="N859" s="306" t="s">
        <v>60</v>
      </c>
      <c r="O859" s="308" t="s">
        <v>1910</v>
      </c>
      <c r="P859" s="306" t="s">
        <v>2578</v>
      </c>
      <c r="Q859" s="315">
        <v>54686940</v>
      </c>
      <c r="R859" s="333">
        <v>1</v>
      </c>
      <c r="S859" s="312">
        <v>54686940</v>
      </c>
      <c r="T859" s="306" t="s">
        <v>1876</v>
      </c>
      <c r="U859" s="306" t="s">
        <v>1876</v>
      </c>
      <c r="V859" s="313" t="s">
        <v>411</v>
      </c>
      <c r="W859" s="314" t="s">
        <v>63</v>
      </c>
      <c r="X859" s="334" t="s">
        <v>2579</v>
      </c>
      <c r="Y859" s="313">
        <v>43129</v>
      </c>
      <c r="Z859" s="312">
        <v>54686940</v>
      </c>
      <c r="AA859" s="316" t="s">
        <v>2402</v>
      </c>
      <c r="AB859" s="317">
        <v>593</v>
      </c>
      <c r="AC859" s="313">
        <v>43131</v>
      </c>
      <c r="AD859" s="312">
        <v>54686940</v>
      </c>
      <c r="AE859" s="318">
        <f t="shared" si="99"/>
        <v>0</v>
      </c>
      <c r="AF859" s="317">
        <v>1369</v>
      </c>
      <c r="AG859" s="313">
        <v>43147</v>
      </c>
      <c r="AH859" s="312">
        <v>54686940</v>
      </c>
      <c r="AI859" s="306" t="s">
        <v>2580</v>
      </c>
      <c r="AJ859" s="306">
        <v>1268</v>
      </c>
      <c r="AK859" s="318">
        <f t="shared" si="102"/>
        <v>0</v>
      </c>
      <c r="AL859" s="312">
        <f t="shared" si="103"/>
        <v>54686940</v>
      </c>
      <c r="AM859" s="312">
        <f t="shared" si="100"/>
        <v>0</v>
      </c>
      <c r="AN859" s="306" t="s">
        <v>1863</v>
      </c>
      <c r="AO859" s="312">
        <f t="shared" si="101"/>
        <v>0</v>
      </c>
      <c r="AP859" s="306"/>
      <c r="AQ859" s="306"/>
      <c r="AR859" s="306"/>
      <c r="AS859" s="306"/>
      <c r="AT859" s="306"/>
    </row>
    <row r="860" spans="1:46" ht="76.5" x14ac:dyDescent="0.25">
      <c r="A860" s="306">
        <v>265</v>
      </c>
      <c r="B860" s="306" t="str">
        <f t="shared" si="98"/>
        <v>3075-265</v>
      </c>
      <c r="C860" s="307" t="s">
        <v>1852</v>
      </c>
      <c r="D860" s="308" t="s">
        <v>1853</v>
      </c>
      <c r="E860" s="308" t="s">
        <v>2119</v>
      </c>
      <c r="F860" s="307" t="s">
        <v>1880</v>
      </c>
      <c r="G860" s="327" t="s">
        <v>1881</v>
      </c>
      <c r="H860" s="310" t="s">
        <v>2120</v>
      </c>
      <c r="I860" s="308" t="s">
        <v>1858</v>
      </c>
      <c r="J860" s="308" t="s">
        <v>1859</v>
      </c>
      <c r="K860" s="308" t="s">
        <v>63</v>
      </c>
      <c r="L860" s="306" t="s">
        <v>1860</v>
      </c>
      <c r="M860" s="306" t="s">
        <v>59</v>
      </c>
      <c r="N860" s="306" t="s">
        <v>60</v>
      </c>
      <c r="O860" s="308" t="s">
        <v>1910</v>
      </c>
      <c r="P860" s="306" t="s">
        <v>2581</v>
      </c>
      <c r="Q860" s="315">
        <v>54686940</v>
      </c>
      <c r="R860" s="333">
        <v>1</v>
      </c>
      <c r="S860" s="312">
        <v>54686940</v>
      </c>
      <c r="T860" s="306" t="s">
        <v>1876</v>
      </c>
      <c r="U860" s="306" t="s">
        <v>1876</v>
      </c>
      <c r="V860" s="313" t="s">
        <v>411</v>
      </c>
      <c r="W860" s="314" t="s">
        <v>63</v>
      </c>
      <c r="X860" s="334" t="s">
        <v>2582</v>
      </c>
      <c r="Y860" s="313">
        <v>43129</v>
      </c>
      <c r="Z860" s="312">
        <v>54686940</v>
      </c>
      <c r="AA860" s="316" t="s">
        <v>2402</v>
      </c>
      <c r="AB860" s="317">
        <v>591</v>
      </c>
      <c r="AC860" s="313">
        <v>43131</v>
      </c>
      <c r="AD860" s="312">
        <v>54686940</v>
      </c>
      <c r="AE860" s="318">
        <f t="shared" si="99"/>
        <v>0</v>
      </c>
      <c r="AF860" s="317">
        <v>1338</v>
      </c>
      <c r="AG860" s="313">
        <v>43144</v>
      </c>
      <c r="AH860" s="312">
        <v>54686940</v>
      </c>
      <c r="AI860" s="306" t="s">
        <v>2583</v>
      </c>
      <c r="AJ860" s="306">
        <v>1126</v>
      </c>
      <c r="AK860" s="318">
        <f t="shared" si="102"/>
        <v>0</v>
      </c>
      <c r="AL860" s="312">
        <f t="shared" si="103"/>
        <v>54686940</v>
      </c>
      <c r="AM860" s="312">
        <f t="shared" si="100"/>
        <v>0</v>
      </c>
      <c r="AN860" s="306" t="s">
        <v>1863</v>
      </c>
      <c r="AO860" s="312">
        <f t="shared" si="101"/>
        <v>0</v>
      </c>
      <c r="AP860" s="306"/>
      <c r="AQ860" s="306"/>
      <c r="AR860" s="306"/>
      <c r="AS860" s="306"/>
      <c r="AT860" s="306"/>
    </row>
    <row r="861" spans="1:46" ht="76.5" x14ac:dyDescent="0.25">
      <c r="A861" s="306">
        <v>266</v>
      </c>
      <c r="B861" s="306" t="str">
        <f t="shared" si="98"/>
        <v>3075-266</v>
      </c>
      <c r="C861" s="307" t="s">
        <v>1852</v>
      </c>
      <c r="D861" s="308" t="s">
        <v>1853</v>
      </c>
      <c r="E861" s="308" t="s">
        <v>2119</v>
      </c>
      <c r="F861" s="307" t="s">
        <v>1880</v>
      </c>
      <c r="G861" s="327" t="s">
        <v>1881</v>
      </c>
      <c r="H861" s="310" t="s">
        <v>2120</v>
      </c>
      <c r="I861" s="308" t="s">
        <v>1858</v>
      </c>
      <c r="J861" s="308" t="s">
        <v>1859</v>
      </c>
      <c r="K861" s="308" t="s">
        <v>63</v>
      </c>
      <c r="L861" s="306" t="s">
        <v>1860</v>
      </c>
      <c r="M861" s="306" t="s">
        <v>59</v>
      </c>
      <c r="N861" s="306" t="s">
        <v>60</v>
      </c>
      <c r="O861" s="308" t="s">
        <v>1910</v>
      </c>
      <c r="P861" s="306" t="s">
        <v>2584</v>
      </c>
      <c r="Q861" s="315">
        <v>54686940</v>
      </c>
      <c r="R861" s="333">
        <v>1</v>
      </c>
      <c r="S861" s="312">
        <v>54686940</v>
      </c>
      <c r="T861" s="306" t="s">
        <v>1876</v>
      </c>
      <c r="U861" s="306" t="s">
        <v>1876</v>
      </c>
      <c r="V861" s="313" t="s">
        <v>294</v>
      </c>
      <c r="W861" s="314" t="s">
        <v>63</v>
      </c>
      <c r="X861" s="334" t="s">
        <v>2585</v>
      </c>
      <c r="Y861" s="313">
        <v>43129</v>
      </c>
      <c r="Z861" s="312">
        <v>54686940</v>
      </c>
      <c r="AA861" s="316" t="s">
        <v>2402</v>
      </c>
      <c r="AB861" s="317">
        <v>655</v>
      </c>
      <c r="AC861" s="313">
        <v>43151</v>
      </c>
      <c r="AD861" s="312">
        <v>54686940</v>
      </c>
      <c r="AE861" s="318">
        <f t="shared" si="99"/>
        <v>0</v>
      </c>
      <c r="AF861" s="317">
        <v>1476</v>
      </c>
      <c r="AG861" s="313">
        <v>43160</v>
      </c>
      <c r="AH861" s="312">
        <v>54686940</v>
      </c>
      <c r="AI861" s="306" t="s">
        <v>2586</v>
      </c>
      <c r="AJ861" s="306">
        <v>1415</v>
      </c>
      <c r="AK861" s="318">
        <f t="shared" si="102"/>
        <v>0</v>
      </c>
      <c r="AL861" s="312">
        <f t="shared" si="103"/>
        <v>54686940</v>
      </c>
      <c r="AM861" s="312">
        <f t="shared" si="100"/>
        <v>0</v>
      </c>
      <c r="AN861" s="306" t="s">
        <v>1863</v>
      </c>
      <c r="AO861" s="312">
        <f t="shared" si="101"/>
        <v>0</v>
      </c>
      <c r="AP861" s="306"/>
      <c r="AQ861" s="306"/>
      <c r="AR861" s="306"/>
      <c r="AS861" s="306"/>
      <c r="AT861" s="306"/>
    </row>
    <row r="862" spans="1:46" ht="76.5" x14ac:dyDescent="0.25">
      <c r="A862" s="306">
        <v>267</v>
      </c>
      <c r="B862" s="306" t="str">
        <f t="shared" si="98"/>
        <v>3075-267</v>
      </c>
      <c r="C862" s="307" t="s">
        <v>1852</v>
      </c>
      <c r="D862" s="308" t="s">
        <v>1853</v>
      </c>
      <c r="E862" s="308" t="s">
        <v>2119</v>
      </c>
      <c r="F862" s="307" t="s">
        <v>1880</v>
      </c>
      <c r="G862" s="327" t="s">
        <v>1881</v>
      </c>
      <c r="H862" s="310" t="s">
        <v>2120</v>
      </c>
      <c r="I862" s="308" t="s">
        <v>1858</v>
      </c>
      <c r="J862" s="308" t="s">
        <v>1859</v>
      </c>
      <c r="K862" s="308" t="s">
        <v>63</v>
      </c>
      <c r="L862" s="306" t="s">
        <v>1860</v>
      </c>
      <c r="M862" s="306" t="s">
        <v>59</v>
      </c>
      <c r="N862" s="306" t="s">
        <v>60</v>
      </c>
      <c r="O862" s="308" t="s">
        <v>1910</v>
      </c>
      <c r="P862" s="306" t="s">
        <v>2587</v>
      </c>
      <c r="Q862" s="315">
        <v>54686940</v>
      </c>
      <c r="R862" s="333">
        <v>1</v>
      </c>
      <c r="S862" s="312">
        <v>54686940</v>
      </c>
      <c r="T862" s="306" t="s">
        <v>1876</v>
      </c>
      <c r="U862" s="306" t="s">
        <v>1876</v>
      </c>
      <c r="V862" s="313" t="s">
        <v>294</v>
      </c>
      <c r="W862" s="314" t="s">
        <v>63</v>
      </c>
      <c r="X862" s="334" t="s">
        <v>2588</v>
      </c>
      <c r="Y862" s="313">
        <v>43129</v>
      </c>
      <c r="Z862" s="312">
        <v>54686940</v>
      </c>
      <c r="AA862" s="316" t="s">
        <v>2402</v>
      </c>
      <c r="AB862" s="317">
        <v>654</v>
      </c>
      <c r="AC862" s="313">
        <v>43151</v>
      </c>
      <c r="AD862" s="312">
        <v>54686940</v>
      </c>
      <c r="AE862" s="318">
        <f t="shared" si="99"/>
        <v>0</v>
      </c>
      <c r="AF862" s="317">
        <v>1477</v>
      </c>
      <c r="AG862" s="313">
        <v>43160</v>
      </c>
      <c r="AH862" s="312">
        <v>54686940</v>
      </c>
      <c r="AI862" s="306" t="s">
        <v>2589</v>
      </c>
      <c r="AJ862" s="306">
        <v>1416</v>
      </c>
      <c r="AK862" s="318">
        <f t="shared" si="102"/>
        <v>0</v>
      </c>
      <c r="AL862" s="312">
        <f t="shared" si="103"/>
        <v>0</v>
      </c>
      <c r="AM862" s="312">
        <f t="shared" si="100"/>
        <v>54686940</v>
      </c>
      <c r="AN862" s="306" t="s">
        <v>1863</v>
      </c>
      <c r="AO862" s="312">
        <f t="shared" si="101"/>
        <v>0</v>
      </c>
      <c r="AP862" s="306"/>
      <c r="AQ862" s="306"/>
      <c r="AR862" s="306"/>
      <c r="AS862" s="306"/>
      <c r="AT862" s="306"/>
    </row>
    <row r="863" spans="1:46" ht="76.5" x14ac:dyDescent="0.25">
      <c r="A863" s="306">
        <v>268</v>
      </c>
      <c r="B863" s="306" t="str">
        <f t="shared" si="98"/>
        <v>3075-268</v>
      </c>
      <c r="C863" s="307" t="s">
        <v>1852</v>
      </c>
      <c r="D863" s="308" t="s">
        <v>1853</v>
      </c>
      <c r="E863" s="308" t="s">
        <v>2119</v>
      </c>
      <c r="F863" s="307" t="s">
        <v>1880</v>
      </c>
      <c r="G863" s="327" t="s">
        <v>1881</v>
      </c>
      <c r="H863" s="310" t="s">
        <v>2120</v>
      </c>
      <c r="I863" s="308" t="s">
        <v>1858</v>
      </c>
      <c r="J863" s="308" t="s">
        <v>1859</v>
      </c>
      <c r="K863" s="308" t="s">
        <v>63</v>
      </c>
      <c r="L863" s="306" t="s">
        <v>1860</v>
      </c>
      <c r="M863" s="306" t="s">
        <v>59</v>
      </c>
      <c r="N863" s="306" t="s">
        <v>60</v>
      </c>
      <c r="O863" s="308" t="s">
        <v>1910</v>
      </c>
      <c r="P863" s="306" t="s">
        <v>2590</v>
      </c>
      <c r="Q863" s="315">
        <v>54686940</v>
      </c>
      <c r="R863" s="333">
        <v>1</v>
      </c>
      <c r="S863" s="312">
        <v>54686940</v>
      </c>
      <c r="T863" s="306" t="s">
        <v>1876</v>
      </c>
      <c r="U863" s="306" t="s">
        <v>1876</v>
      </c>
      <c r="V863" s="313" t="s">
        <v>411</v>
      </c>
      <c r="W863" s="314" t="s">
        <v>63</v>
      </c>
      <c r="X863" s="334" t="s">
        <v>2591</v>
      </c>
      <c r="Y863" s="313">
        <v>43129</v>
      </c>
      <c r="Z863" s="312">
        <v>54686940</v>
      </c>
      <c r="AA863" s="316" t="s">
        <v>2402</v>
      </c>
      <c r="AB863" s="317">
        <v>595</v>
      </c>
      <c r="AC863" s="313">
        <v>43131</v>
      </c>
      <c r="AD863" s="312">
        <v>54686940</v>
      </c>
      <c r="AE863" s="318">
        <f t="shared" si="99"/>
        <v>0</v>
      </c>
      <c r="AF863" s="317">
        <v>1331</v>
      </c>
      <c r="AG863" s="313">
        <v>43144</v>
      </c>
      <c r="AH863" s="312">
        <v>54686940</v>
      </c>
      <c r="AI863" s="306" t="s">
        <v>2592</v>
      </c>
      <c r="AJ863" s="306">
        <v>1098</v>
      </c>
      <c r="AK863" s="318">
        <f t="shared" si="102"/>
        <v>0</v>
      </c>
      <c r="AL863" s="312">
        <f t="shared" si="103"/>
        <v>0</v>
      </c>
      <c r="AM863" s="312">
        <f t="shared" si="100"/>
        <v>54686940</v>
      </c>
      <c r="AN863" s="306" t="s">
        <v>1863</v>
      </c>
      <c r="AO863" s="312">
        <f t="shared" si="101"/>
        <v>0</v>
      </c>
      <c r="AP863" s="306"/>
      <c r="AQ863" s="306"/>
      <c r="AR863" s="306"/>
      <c r="AS863" s="306"/>
      <c r="AT863" s="306"/>
    </row>
    <row r="864" spans="1:46" ht="76.5" x14ac:dyDescent="0.25">
      <c r="A864" s="306">
        <v>269</v>
      </c>
      <c r="B864" s="306" t="str">
        <f t="shared" si="98"/>
        <v>3075-269</v>
      </c>
      <c r="C864" s="307" t="s">
        <v>1852</v>
      </c>
      <c r="D864" s="308" t="s">
        <v>1853</v>
      </c>
      <c r="E864" s="308" t="s">
        <v>2119</v>
      </c>
      <c r="F864" s="307" t="s">
        <v>1880</v>
      </c>
      <c r="G864" s="327" t="s">
        <v>1881</v>
      </c>
      <c r="H864" s="310" t="s">
        <v>2120</v>
      </c>
      <c r="I864" s="308" t="s">
        <v>1858</v>
      </c>
      <c r="J864" s="308" t="s">
        <v>1859</v>
      </c>
      <c r="K864" s="308" t="s">
        <v>63</v>
      </c>
      <c r="L864" s="306" t="s">
        <v>1860</v>
      </c>
      <c r="M864" s="306" t="s">
        <v>59</v>
      </c>
      <c r="N864" s="306" t="s">
        <v>60</v>
      </c>
      <c r="O864" s="308" t="s">
        <v>1910</v>
      </c>
      <c r="P864" s="306" t="s">
        <v>2593</v>
      </c>
      <c r="Q864" s="315">
        <v>54686940</v>
      </c>
      <c r="R864" s="333">
        <v>1</v>
      </c>
      <c r="S864" s="312">
        <v>54686940</v>
      </c>
      <c r="T864" s="306" t="s">
        <v>1876</v>
      </c>
      <c r="U864" s="306" t="s">
        <v>1876</v>
      </c>
      <c r="V864" s="313" t="s">
        <v>411</v>
      </c>
      <c r="W864" s="314" t="s">
        <v>63</v>
      </c>
      <c r="X864" s="334" t="s">
        <v>2594</v>
      </c>
      <c r="Y864" s="313">
        <v>43131</v>
      </c>
      <c r="Z864" s="315">
        <v>54686940</v>
      </c>
      <c r="AA864" s="316" t="s">
        <v>2402</v>
      </c>
      <c r="AB864" s="317">
        <v>601</v>
      </c>
      <c r="AC864" s="313">
        <v>43132</v>
      </c>
      <c r="AD864" s="312">
        <v>54686940</v>
      </c>
      <c r="AE864" s="318">
        <f t="shared" si="99"/>
        <v>0</v>
      </c>
      <c r="AF864" s="317">
        <v>1355</v>
      </c>
      <c r="AG864" s="313">
        <v>43145</v>
      </c>
      <c r="AH864" s="312">
        <v>54686940</v>
      </c>
      <c r="AI864" s="306" t="s">
        <v>2595</v>
      </c>
      <c r="AJ864" s="306">
        <v>1094</v>
      </c>
      <c r="AK864" s="318">
        <f t="shared" si="102"/>
        <v>0</v>
      </c>
      <c r="AL864" s="312">
        <f t="shared" si="103"/>
        <v>0</v>
      </c>
      <c r="AM864" s="312">
        <f t="shared" si="100"/>
        <v>54686940</v>
      </c>
      <c r="AN864" s="306" t="s">
        <v>1863</v>
      </c>
      <c r="AO864" s="312">
        <f t="shared" si="101"/>
        <v>0</v>
      </c>
      <c r="AP864" s="306"/>
      <c r="AQ864" s="306"/>
      <c r="AR864" s="306"/>
      <c r="AS864" s="306"/>
      <c r="AT864" s="306"/>
    </row>
    <row r="865" spans="1:46" ht="76.5" x14ac:dyDescent="0.25">
      <c r="A865" s="306">
        <v>270</v>
      </c>
      <c r="B865" s="306" t="str">
        <f t="shared" si="98"/>
        <v>3075-270</v>
      </c>
      <c r="C865" s="307" t="s">
        <v>1852</v>
      </c>
      <c r="D865" s="308" t="s">
        <v>1853</v>
      </c>
      <c r="E865" s="308" t="s">
        <v>2119</v>
      </c>
      <c r="F865" s="307" t="s">
        <v>1880</v>
      </c>
      <c r="G865" s="327" t="s">
        <v>1881</v>
      </c>
      <c r="H865" s="310" t="s">
        <v>2120</v>
      </c>
      <c r="I865" s="308" t="s">
        <v>1858</v>
      </c>
      <c r="J865" s="308" t="s">
        <v>1859</v>
      </c>
      <c r="K865" s="308" t="s">
        <v>63</v>
      </c>
      <c r="L865" s="306" t="s">
        <v>1860</v>
      </c>
      <c r="M865" s="306" t="s">
        <v>59</v>
      </c>
      <c r="N865" s="306" t="s">
        <v>60</v>
      </c>
      <c r="O865" s="308" t="s">
        <v>1910</v>
      </c>
      <c r="P865" s="306" t="s">
        <v>2596</v>
      </c>
      <c r="Q865" s="315">
        <v>54686940</v>
      </c>
      <c r="R865" s="333">
        <v>1</v>
      </c>
      <c r="S865" s="312">
        <v>54686940</v>
      </c>
      <c r="T865" s="306" t="s">
        <v>1876</v>
      </c>
      <c r="U865" s="306" t="s">
        <v>1876</v>
      </c>
      <c r="V865" s="313" t="s">
        <v>411</v>
      </c>
      <c r="W865" s="314" t="s">
        <v>63</v>
      </c>
      <c r="X865" s="334" t="s">
        <v>2597</v>
      </c>
      <c r="Y865" s="313">
        <v>43131</v>
      </c>
      <c r="Z865" s="315">
        <v>54686940</v>
      </c>
      <c r="AA865" s="316" t="s">
        <v>2402</v>
      </c>
      <c r="AB865" s="317">
        <v>626</v>
      </c>
      <c r="AC865" s="313">
        <v>43132</v>
      </c>
      <c r="AD865" s="312">
        <v>54686940</v>
      </c>
      <c r="AE865" s="318">
        <f t="shared" si="99"/>
        <v>0</v>
      </c>
      <c r="AF865" s="317">
        <v>1366</v>
      </c>
      <c r="AG865" s="313">
        <v>43147</v>
      </c>
      <c r="AH865" s="312">
        <v>54686940</v>
      </c>
      <c r="AI865" s="306" t="s">
        <v>2598</v>
      </c>
      <c r="AJ865" s="306">
        <v>1276</v>
      </c>
      <c r="AK865" s="318">
        <f t="shared" si="102"/>
        <v>0</v>
      </c>
      <c r="AL865" s="312">
        <f t="shared" si="103"/>
        <v>0</v>
      </c>
      <c r="AM865" s="312">
        <f t="shared" si="100"/>
        <v>54686940</v>
      </c>
      <c r="AN865" s="306" t="s">
        <v>1863</v>
      </c>
      <c r="AO865" s="312">
        <f t="shared" si="101"/>
        <v>0</v>
      </c>
      <c r="AP865" s="306"/>
      <c r="AQ865" s="306"/>
      <c r="AR865" s="306"/>
      <c r="AS865" s="306"/>
      <c r="AT865" s="306"/>
    </row>
    <row r="866" spans="1:46" ht="76.5" x14ac:dyDescent="0.25">
      <c r="A866" s="306">
        <v>271</v>
      </c>
      <c r="B866" s="306" t="str">
        <f t="shared" si="98"/>
        <v>3075-271</v>
      </c>
      <c r="C866" s="307" t="s">
        <v>1852</v>
      </c>
      <c r="D866" s="308" t="s">
        <v>1853</v>
      </c>
      <c r="E866" s="308" t="s">
        <v>2119</v>
      </c>
      <c r="F866" s="307" t="s">
        <v>1880</v>
      </c>
      <c r="G866" s="327" t="s">
        <v>1881</v>
      </c>
      <c r="H866" s="310" t="s">
        <v>2120</v>
      </c>
      <c r="I866" s="308" t="s">
        <v>1858</v>
      </c>
      <c r="J866" s="308" t="s">
        <v>1859</v>
      </c>
      <c r="K866" s="308" t="s">
        <v>63</v>
      </c>
      <c r="L866" s="306" t="s">
        <v>1860</v>
      </c>
      <c r="M866" s="306" t="s">
        <v>59</v>
      </c>
      <c r="N866" s="306" t="s">
        <v>60</v>
      </c>
      <c r="O866" s="308" t="s">
        <v>1910</v>
      </c>
      <c r="P866" s="306" t="s">
        <v>2599</v>
      </c>
      <c r="Q866" s="315">
        <v>54686940</v>
      </c>
      <c r="R866" s="333">
        <v>1</v>
      </c>
      <c r="S866" s="312">
        <v>54686940</v>
      </c>
      <c r="T866" s="306" t="s">
        <v>1876</v>
      </c>
      <c r="U866" s="306" t="s">
        <v>1876</v>
      </c>
      <c r="V866" s="313" t="s">
        <v>411</v>
      </c>
      <c r="W866" s="314" t="s">
        <v>63</v>
      </c>
      <c r="X866" s="334" t="s">
        <v>2600</v>
      </c>
      <c r="Y866" s="313">
        <v>43131</v>
      </c>
      <c r="Z866" s="315">
        <v>54686940</v>
      </c>
      <c r="AA866" s="316" t="s">
        <v>2402</v>
      </c>
      <c r="AB866" s="317">
        <v>606</v>
      </c>
      <c r="AC866" s="313">
        <v>43132</v>
      </c>
      <c r="AD866" s="312">
        <v>54686940</v>
      </c>
      <c r="AE866" s="318">
        <f t="shared" si="99"/>
        <v>0</v>
      </c>
      <c r="AF866" s="317">
        <v>1345</v>
      </c>
      <c r="AG866" s="313">
        <v>43144</v>
      </c>
      <c r="AH866" s="312">
        <v>54686940</v>
      </c>
      <c r="AI866" s="306" t="s">
        <v>2601</v>
      </c>
      <c r="AJ866" s="306">
        <v>1103</v>
      </c>
      <c r="AK866" s="318">
        <f t="shared" si="102"/>
        <v>0</v>
      </c>
      <c r="AL866" s="312">
        <f t="shared" si="103"/>
        <v>54686940</v>
      </c>
      <c r="AM866" s="312">
        <f t="shared" si="100"/>
        <v>0</v>
      </c>
      <c r="AN866" s="306" t="s">
        <v>1863</v>
      </c>
      <c r="AO866" s="312">
        <f t="shared" si="101"/>
        <v>0</v>
      </c>
      <c r="AP866" s="306"/>
      <c r="AQ866" s="306"/>
      <c r="AR866" s="306"/>
      <c r="AS866" s="306"/>
      <c r="AT866" s="306"/>
    </row>
    <row r="867" spans="1:46" ht="76.5" x14ac:dyDescent="0.25">
      <c r="A867" s="306">
        <v>272</v>
      </c>
      <c r="B867" s="306" t="str">
        <f t="shared" si="98"/>
        <v>3075-272</v>
      </c>
      <c r="C867" s="307" t="s">
        <v>1852</v>
      </c>
      <c r="D867" s="308" t="s">
        <v>1853</v>
      </c>
      <c r="E867" s="308" t="s">
        <v>2119</v>
      </c>
      <c r="F867" s="307" t="s">
        <v>1880</v>
      </c>
      <c r="G867" s="327" t="s">
        <v>1881</v>
      </c>
      <c r="H867" s="310" t="s">
        <v>2120</v>
      </c>
      <c r="I867" s="308" t="s">
        <v>1858</v>
      </c>
      <c r="J867" s="308" t="s">
        <v>1859</v>
      </c>
      <c r="K867" s="308" t="s">
        <v>63</v>
      </c>
      <c r="L867" s="306" t="s">
        <v>1860</v>
      </c>
      <c r="M867" s="306" t="s">
        <v>59</v>
      </c>
      <c r="N867" s="306" t="s">
        <v>60</v>
      </c>
      <c r="O867" s="308" t="s">
        <v>1910</v>
      </c>
      <c r="P867" s="306" t="s">
        <v>2602</v>
      </c>
      <c r="Q867" s="315">
        <v>54686940</v>
      </c>
      <c r="R867" s="333">
        <v>1</v>
      </c>
      <c r="S867" s="312">
        <v>54686940</v>
      </c>
      <c r="T867" s="306" t="s">
        <v>1876</v>
      </c>
      <c r="U867" s="306" t="s">
        <v>1876</v>
      </c>
      <c r="V867" s="313" t="s">
        <v>411</v>
      </c>
      <c r="W867" s="314" t="s">
        <v>63</v>
      </c>
      <c r="X867" s="334" t="s">
        <v>2603</v>
      </c>
      <c r="Y867" s="313">
        <v>43131</v>
      </c>
      <c r="Z867" s="315">
        <v>54686940</v>
      </c>
      <c r="AA867" s="316" t="s">
        <v>2402</v>
      </c>
      <c r="AB867" s="317">
        <v>610</v>
      </c>
      <c r="AC867" s="313">
        <v>43132</v>
      </c>
      <c r="AD867" s="312">
        <v>54686940</v>
      </c>
      <c r="AE867" s="318">
        <f t="shared" si="99"/>
        <v>0</v>
      </c>
      <c r="AF867" s="317">
        <v>1364</v>
      </c>
      <c r="AG867" s="313">
        <v>43147</v>
      </c>
      <c r="AH867" s="312">
        <v>54686940</v>
      </c>
      <c r="AI867" s="306" t="s">
        <v>2604</v>
      </c>
      <c r="AJ867" s="306">
        <v>1275</v>
      </c>
      <c r="AK867" s="318">
        <f t="shared" si="102"/>
        <v>0</v>
      </c>
      <c r="AL867" s="312">
        <f t="shared" si="103"/>
        <v>54686940</v>
      </c>
      <c r="AM867" s="312">
        <f t="shared" si="100"/>
        <v>0</v>
      </c>
      <c r="AN867" s="306" t="s">
        <v>1863</v>
      </c>
      <c r="AO867" s="312">
        <f t="shared" si="101"/>
        <v>0</v>
      </c>
      <c r="AP867" s="306"/>
      <c r="AQ867" s="306"/>
      <c r="AR867" s="306"/>
      <c r="AS867" s="306"/>
      <c r="AT867" s="306"/>
    </row>
    <row r="868" spans="1:46" ht="76.5" x14ac:dyDescent="0.25">
      <c r="A868" s="306">
        <v>273</v>
      </c>
      <c r="B868" s="306" t="str">
        <f t="shared" si="98"/>
        <v>3075-273</v>
      </c>
      <c r="C868" s="307" t="s">
        <v>1852</v>
      </c>
      <c r="D868" s="308" t="s">
        <v>1853</v>
      </c>
      <c r="E868" s="308" t="s">
        <v>2119</v>
      </c>
      <c r="F868" s="307" t="s">
        <v>1880</v>
      </c>
      <c r="G868" s="327" t="s">
        <v>1881</v>
      </c>
      <c r="H868" s="310" t="s">
        <v>2120</v>
      </c>
      <c r="I868" s="308" t="s">
        <v>1858</v>
      </c>
      <c r="J868" s="308" t="s">
        <v>1859</v>
      </c>
      <c r="K868" s="308" t="s">
        <v>63</v>
      </c>
      <c r="L868" s="306" t="s">
        <v>1860</v>
      </c>
      <c r="M868" s="306" t="s">
        <v>59</v>
      </c>
      <c r="N868" s="306" t="s">
        <v>60</v>
      </c>
      <c r="O868" s="308" t="s">
        <v>1910</v>
      </c>
      <c r="P868" s="306" t="s">
        <v>2605</v>
      </c>
      <c r="Q868" s="315">
        <v>54686940</v>
      </c>
      <c r="R868" s="333">
        <v>1</v>
      </c>
      <c r="S868" s="312">
        <v>54686940</v>
      </c>
      <c r="T868" s="306" t="s">
        <v>1876</v>
      </c>
      <c r="U868" s="306" t="s">
        <v>1876</v>
      </c>
      <c r="V868" s="313" t="s">
        <v>411</v>
      </c>
      <c r="W868" s="314" t="s">
        <v>63</v>
      </c>
      <c r="X868" s="334" t="s">
        <v>2606</v>
      </c>
      <c r="Y868" s="313">
        <v>43131</v>
      </c>
      <c r="Z868" s="315">
        <v>54686940</v>
      </c>
      <c r="AA868" s="316" t="s">
        <v>2402</v>
      </c>
      <c r="AB868" s="317">
        <v>613</v>
      </c>
      <c r="AC868" s="313">
        <v>43132</v>
      </c>
      <c r="AD868" s="312">
        <v>54686940</v>
      </c>
      <c r="AE868" s="318">
        <f t="shared" si="99"/>
        <v>0</v>
      </c>
      <c r="AF868" s="317">
        <v>1374</v>
      </c>
      <c r="AG868" s="313">
        <v>43147</v>
      </c>
      <c r="AH868" s="312">
        <v>54686940</v>
      </c>
      <c r="AI868" s="306" t="s">
        <v>2607</v>
      </c>
      <c r="AJ868" s="306">
        <v>1278</v>
      </c>
      <c r="AK868" s="318">
        <f t="shared" si="102"/>
        <v>0</v>
      </c>
      <c r="AL868" s="312">
        <f t="shared" si="103"/>
        <v>54686940</v>
      </c>
      <c r="AM868" s="312">
        <f t="shared" si="100"/>
        <v>0</v>
      </c>
      <c r="AN868" s="306" t="s">
        <v>1863</v>
      </c>
      <c r="AO868" s="312">
        <f t="shared" si="101"/>
        <v>0</v>
      </c>
      <c r="AP868" s="306"/>
      <c r="AQ868" s="306"/>
      <c r="AR868" s="306"/>
      <c r="AS868" s="306"/>
      <c r="AT868" s="306"/>
    </row>
    <row r="869" spans="1:46" ht="76.5" x14ac:dyDescent="0.25">
      <c r="A869" s="306">
        <v>274</v>
      </c>
      <c r="B869" s="306" t="str">
        <f t="shared" si="98"/>
        <v>3075-274</v>
      </c>
      <c r="C869" s="307" t="s">
        <v>1852</v>
      </c>
      <c r="D869" s="308" t="s">
        <v>1853</v>
      </c>
      <c r="E869" s="308" t="s">
        <v>2119</v>
      </c>
      <c r="F869" s="307" t="s">
        <v>1880</v>
      </c>
      <c r="G869" s="327" t="s">
        <v>1881</v>
      </c>
      <c r="H869" s="310" t="s">
        <v>2120</v>
      </c>
      <c r="I869" s="308" t="s">
        <v>1858</v>
      </c>
      <c r="J869" s="308" t="s">
        <v>1859</v>
      </c>
      <c r="K869" s="308" t="s">
        <v>63</v>
      </c>
      <c r="L869" s="306" t="s">
        <v>1860</v>
      </c>
      <c r="M869" s="306" t="s">
        <v>59</v>
      </c>
      <c r="N869" s="306" t="s">
        <v>60</v>
      </c>
      <c r="O869" s="308" t="s">
        <v>1910</v>
      </c>
      <c r="P869" s="306" t="s">
        <v>2608</v>
      </c>
      <c r="Q869" s="315">
        <v>54686940</v>
      </c>
      <c r="R869" s="333">
        <v>1</v>
      </c>
      <c r="S869" s="312">
        <v>54686940</v>
      </c>
      <c r="T869" s="306" t="s">
        <v>1876</v>
      </c>
      <c r="U869" s="306" t="s">
        <v>1876</v>
      </c>
      <c r="V869" s="313" t="s">
        <v>411</v>
      </c>
      <c r="W869" s="314" t="s">
        <v>63</v>
      </c>
      <c r="X869" s="334" t="s">
        <v>2609</v>
      </c>
      <c r="Y869" s="313">
        <v>43131</v>
      </c>
      <c r="Z869" s="315">
        <v>54686940</v>
      </c>
      <c r="AA869" s="316" t="s">
        <v>2402</v>
      </c>
      <c r="AB869" s="317">
        <v>616</v>
      </c>
      <c r="AC869" s="313">
        <v>43132</v>
      </c>
      <c r="AD869" s="312">
        <v>54686940</v>
      </c>
      <c r="AE869" s="318">
        <f t="shared" si="99"/>
        <v>0</v>
      </c>
      <c r="AF869" s="317">
        <v>1363</v>
      </c>
      <c r="AG869" s="313">
        <v>43147</v>
      </c>
      <c r="AH869" s="312">
        <v>54686940</v>
      </c>
      <c r="AI869" s="306" t="s">
        <v>2610</v>
      </c>
      <c r="AJ869" s="306">
        <v>1274</v>
      </c>
      <c r="AK869" s="318">
        <f t="shared" si="102"/>
        <v>0</v>
      </c>
      <c r="AL869" s="312">
        <f t="shared" si="103"/>
        <v>54686940</v>
      </c>
      <c r="AM869" s="312">
        <f t="shared" si="100"/>
        <v>0</v>
      </c>
      <c r="AN869" s="306" t="s">
        <v>1863</v>
      </c>
      <c r="AO869" s="312">
        <f t="shared" si="101"/>
        <v>0</v>
      </c>
      <c r="AP869" s="306"/>
      <c r="AQ869" s="306"/>
      <c r="AR869" s="306"/>
      <c r="AS869" s="306"/>
      <c r="AT869" s="306"/>
    </row>
    <row r="870" spans="1:46" ht="76.5" x14ac:dyDescent="0.25">
      <c r="A870" s="306">
        <v>275</v>
      </c>
      <c r="B870" s="306" t="str">
        <f t="shared" si="98"/>
        <v>3075-275</v>
      </c>
      <c r="C870" s="307" t="s">
        <v>1852</v>
      </c>
      <c r="D870" s="308" t="s">
        <v>1853</v>
      </c>
      <c r="E870" s="308" t="s">
        <v>2119</v>
      </c>
      <c r="F870" s="307" t="s">
        <v>1880</v>
      </c>
      <c r="G870" s="327" t="s">
        <v>1881</v>
      </c>
      <c r="H870" s="310" t="s">
        <v>2120</v>
      </c>
      <c r="I870" s="308" t="s">
        <v>1858</v>
      </c>
      <c r="J870" s="308" t="s">
        <v>1859</v>
      </c>
      <c r="K870" s="308" t="s">
        <v>63</v>
      </c>
      <c r="L870" s="306" t="s">
        <v>1860</v>
      </c>
      <c r="M870" s="306" t="s">
        <v>59</v>
      </c>
      <c r="N870" s="306" t="s">
        <v>60</v>
      </c>
      <c r="O870" s="308" t="s">
        <v>1910</v>
      </c>
      <c r="P870" s="306" t="s">
        <v>2611</v>
      </c>
      <c r="Q870" s="315">
        <v>54686940</v>
      </c>
      <c r="R870" s="333">
        <v>1</v>
      </c>
      <c r="S870" s="312">
        <v>54686940</v>
      </c>
      <c r="T870" s="306" t="s">
        <v>1876</v>
      </c>
      <c r="U870" s="306" t="s">
        <v>1876</v>
      </c>
      <c r="V870" s="313" t="s">
        <v>411</v>
      </c>
      <c r="W870" s="314" t="s">
        <v>63</v>
      </c>
      <c r="X870" s="334" t="s">
        <v>2612</v>
      </c>
      <c r="Y870" s="313">
        <v>43131</v>
      </c>
      <c r="Z870" s="315">
        <v>54686940</v>
      </c>
      <c r="AA870" s="316" t="s">
        <v>2402</v>
      </c>
      <c r="AB870" s="317">
        <v>619</v>
      </c>
      <c r="AC870" s="313">
        <v>43132</v>
      </c>
      <c r="AD870" s="312">
        <v>54686940</v>
      </c>
      <c r="AE870" s="318">
        <f t="shared" si="99"/>
        <v>0</v>
      </c>
      <c r="AF870" s="317">
        <v>1344</v>
      </c>
      <c r="AG870" s="313">
        <v>43144</v>
      </c>
      <c r="AH870" s="312">
        <v>54686940</v>
      </c>
      <c r="AI870" s="306" t="s">
        <v>2613</v>
      </c>
      <c r="AJ870" s="306">
        <v>1095</v>
      </c>
      <c r="AK870" s="318">
        <f t="shared" si="102"/>
        <v>0</v>
      </c>
      <c r="AL870" s="312">
        <f t="shared" si="103"/>
        <v>54686940</v>
      </c>
      <c r="AM870" s="312">
        <f t="shared" si="100"/>
        <v>0</v>
      </c>
      <c r="AN870" s="306" t="s">
        <v>1863</v>
      </c>
      <c r="AO870" s="312">
        <f t="shared" si="101"/>
        <v>0</v>
      </c>
      <c r="AP870" s="306"/>
      <c r="AQ870" s="306"/>
      <c r="AR870" s="306"/>
      <c r="AS870" s="306"/>
      <c r="AT870" s="306"/>
    </row>
    <row r="871" spans="1:46" ht="76.5" x14ac:dyDescent="0.25">
      <c r="A871" s="306">
        <v>276</v>
      </c>
      <c r="B871" s="306" t="str">
        <f t="shared" si="98"/>
        <v>3075-276</v>
      </c>
      <c r="C871" s="307" t="s">
        <v>1852</v>
      </c>
      <c r="D871" s="308" t="s">
        <v>1853</v>
      </c>
      <c r="E871" s="308" t="s">
        <v>2119</v>
      </c>
      <c r="F871" s="307" t="s">
        <v>1880</v>
      </c>
      <c r="G871" s="327" t="s">
        <v>1881</v>
      </c>
      <c r="H871" s="310" t="s">
        <v>2120</v>
      </c>
      <c r="I871" s="308" t="s">
        <v>1858</v>
      </c>
      <c r="J871" s="308" t="s">
        <v>1859</v>
      </c>
      <c r="K871" s="308" t="s">
        <v>63</v>
      </c>
      <c r="L871" s="306" t="s">
        <v>1860</v>
      </c>
      <c r="M871" s="306" t="s">
        <v>59</v>
      </c>
      <c r="N871" s="306" t="s">
        <v>60</v>
      </c>
      <c r="O871" s="308" t="s">
        <v>1910</v>
      </c>
      <c r="P871" s="306" t="s">
        <v>2614</v>
      </c>
      <c r="Q871" s="315">
        <v>54686940</v>
      </c>
      <c r="R871" s="333">
        <v>1</v>
      </c>
      <c r="S871" s="312">
        <v>54686940</v>
      </c>
      <c r="T871" s="306" t="s">
        <v>1876</v>
      </c>
      <c r="U871" s="306" t="s">
        <v>1876</v>
      </c>
      <c r="V871" s="313" t="s">
        <v>411</v>
      </c>
      <c r="W871" s="314" t="s">
        <v>63</v>
      </c>
      <c r="X871" s="334" t="s">
        <v>2615</v>
      </c>
      <c r="Y871" s="313">
        <v>43131</v>
      </c>
      <c r="Z871" s="315">
        <v>54686940</v>
      </c>
      <c r="AA871" s="316" t="s">
        <v>2402</v>
      </c>
      <c r="AB871" s="317">
        <v>621</v>
      </c>
      <c r="AC871" s="313">
        <v>43132</v>
      </c>
      <c r="AD871" s="312">
        <v>54686940</v>
      </c>
      <c r="AE871" s="318">
        <f t="shared" si="99"/>
        <v>0</v>
      </c>
      <c r="AF871" s="317">
        <v>1368</v>
      </c>
      <c r="AG871" s="313">
        <v>43147</v>
      </c>
      <c r="AH871" s="312">
        <v>54686940</v>
      </c>
      <c r="AI871" s="306" t="s">
        <v>2616</v>
      </c>
      <c r="AJ871" s="306">
        <v>1272</v>
      </c>
      <c r="AK871" s="318">
        <f t="shared" si="102"/>
        <v>0</v>
      </c>
      <c r="AL871" s="312">
        <f t="shared" si="103"/>
        <v>54686940</v>
      </c>
      <c r="AM871" s="312">
        <f t="shared" si="100"/>
        <v>0</v>
      </c>
      <c r="AN871" s="306" t="s">
        <v>1863</v>
      </c>
      <c r="AO871" s="312">
        <f t="shared" si="101"/>
        <v>0</v>
      </c>
      <c r="AP871" s="306"/>
      <c r="AQ871" s="306"/>
      <c r="AR871" s="306"/>
      <c r="AS871" s="306"/>
      <c r="AT871" s="306"/>
    </row>
    <row r="872" spans="1:46" ht="76.5" x14ac:dyDescent="0.25">
      <c r="A872" s="306">
        <v>277</v>
      </c>
      <c r="B872" s="306" t="str">
        <f t="shared" si="98"/>
        <v>3075-277</v>
      </c>
      <c r="C872" s="307" t="s">
        <v>1852</v>
      </c>
      <c r="D872" s="308" t="s">
        <v>1853</v>
      </c>
      <c r="E872" s="308" t="s">
        <v>2119</v>
      </c>
      <c r="F872" s="307" t="s">
        <v>1880</v>
      </c>
      <c r="G872" s="327" t="s">
        <v>1881</v>
      </c>
      <c r="H872" s="310" t="s">
        <v>2120</v>
      </c>
      <c r="I872" s="308" t="s">
        <v>1858</v>
      </c>
      <c r="J872" s="308" t="s">
        <v>1859</v>
      </c>
      <c r="K872" s="308" t="s">
        <v>63</v>
      </c>
      <c r="L872" s="306" t="s">
        <v>1860</v>
      </c>
      <c r="M872" s="306" t="s">
        <v>59</v>
      </c>
      <c r="N872" s="306" t="s">
        <v>60</v>
      </c>
      <c r="O872" s="308" t="s">
        <v>1910</v>
      </c>
      <c r="P872" s="306" t="s">
        <v>2617</v>
      </c>
      <c r="Q872" s="315">
        <v>54686940</v>
      </c>
      <c r="R872" s="333">
        <v>1</v>
      </c>
      <c r="S872" s="312">
        <v>54686940</v>
      </c>
      <c r="T872" s="306" t="s">
        <v>1876</v>
      </c>
      <c r="U872" s="306" t="s">
        <v>1876</v>
      </c>
      <c r="V872" s="313" t="s">
        <v>411</v>
      </c>
      <c r="W872" s="314" t="s">
        <v>63</v>
      </c>
      <c r="X872" s="334" t="s">
        <v>2618</v>
      </c>
      <c r="Y872" s="313">
        <v>43131</v>
      </c>
      <c r="Z872" s="315">
        <v>54686940</v>
      </c>
      <c r="AA872" s="316" t="s">
        <v>2402</v>
      </c>
      <c r="AB872" s="317">
        <v>622</v>
      </c>
      <c r="AC872" s="313">
        <v>43132</v>
      </c>
      <c r="AD872" s="312">
        <v>54686940</v>
      </c>
      <c r="AE872" s="318">
        <f t="shared" si="99"/>
        <v>0</v>
      </c>
      <c r="AF872" s="317">
        <v>1342</v>
      </c>
      <c r="AG872" s="313">
        <v>43144</v>
      </c>
      <c r="AH872" s="312">
        <v>54686940</v>
      </c>
      <c r="AI872" s="306" t="s">
        <v>2619</v>
      </c>
      <c r="AJ872" s="306">
        <v>1096</v>
      </c>
      <c r="AK872" s="318">
        <f t="shared" si="102"/>
        <v>0</v>
      </c>
      <c r="AL872" s="312">
        <f t="shared" si="103"/>
        <v>54686940</v>
      </c>
      <c r="AM872" s="312">
        <f t="shared" si="100"/>
        <v>0</v>
      </c>
      <c r="AN872" s="306" t="s">
        <v>1863</v>
      </c>
      <c r="AO872" s="312">
        <f t="shared" si="101"/>
        <v>0</v>
      </c>
      <c r="AP872" s="306"/>
      <c r="AQ872" s="306"/>
      <c r="AR872" s="306"/>
      <c r="AS872" s="306"/>
      <c r="AT872" s="306"/>
    </row>
    <row r="873" spans="1:46" ht="76.5" x14ac:dyDescent="0.25">
      <c r="A873" s="306">
        <v>278</v>
      </c>
      <c r="B873" s="306" t="str">
        <f t="shared" si="98"/>
        <v>3075-278</v>
      </c>
      <c r="C873" s="307" t="s">
        <v>1852</v>
      </c>
      <c r="D873" s="308" t="s">
        <v>1853</v>
      </c>
      <c r="E873" s="308" t="s">
        <v>2119</v>
      </c>
      <c r="F873" s="307" t="s">
        <v>1880</v>
      </c>
      <c r="G873" s="327" t="s">
        <v>1881</v>
      </c>
      <c r="H873" s="310" t="s">
        <v>2120</v>
      </c>
      <c r="I873" s="308" t="s">
        <v>1858</v>
      </c>
      <c r="J873" s="308" t="s">
        <v>1859</v>
      </c>
      <c r="K873" s="308" t="s">
        <v>63</v>
      </c>
      <c r="L873" s="306" t="s">
        <v>1860</v>
      </c>
      <c r="M873" s="306" t="s">
        <v>59</v>
      </c>
      <c r="N873" s="306" t="s">
        <v>60</v>
      </c>
      <c r="O873" s="308" t="s">
        <v>1910</v>
      </c>
      <c r="P873" s="306" t="s">
        <v>2620</v>
      </c>
      <c r="Q873" s="315">
        <v>54686940</v>
      </c>
      <c r="R873" s="333">
        <v>1</v>
      </c>
      <c r="S873" s="312">
        <v>54686940</v>
      </c>
      <c r="T873" s="306" t="s">
        <v>1876</v>
      </c>
      <c r="U873" s="306" t="s">
        <v>1876</v>
      </c>
      <c r="V873" s="313" t="s">
        <v>411</v>
      </c>
      <c r="W873" s="314" t="s">
        <v>63</v>
      </c>
      <c r="X873" s="334" t="s">
        <v>2621</v>
      </c>
      <c r="Y873" s="313">
        <v>43131</v>
      </c>
      <c r="Z873" s="315">
        <v>54686940</v>
      </c>
      <c r="AA873" s="316" t="s">
        <v>2402</v>
      </c>
      <c r="AB873" s="317">
        <v>624</v>
      </c>
      <c r="AC873" s="313">
        <v>43132</v>
      </c>
      <c r="AD873" s="312">
        <v>54686940</v>
      </c>
      <c r="AE873" s="318">
        <f t="shared" si="99"/>
        <v>0</v>
      </c>
      <c r="AF873" s="317">
        <v>1454</v>
      </c>
      <c r="AG873" s="313">
        <v>43152</v>
      </c>
      <c r="AH873" s="312">
        <v>54686940</v>
      </c>
      <c r="AI873" s="306" t="s">
        <v>2622</v>
      </c>
      <c r="AJ873" s="306">
        <v>1355</v>
      </c>
      <c r="AK873" s="318">
        <f t="shared" si="102"/>
        <v>0</v>
      </c>
      <c r="AL873" s="312">
        <f t="shared" si="103"/>
        <v>54686940</v>
      </c>
      <c r="AM873" s="312">
        <f t="shared" si="100"/>
        <v>0</v>
      </c>
      <c r="AN873" s="306" t="s">
        <v>1863</v>
      </c>
      <c r="AO873" s="312">
        <f t="shared" si="101"/>
        <v>0</v>
      </c>
      <c r="AP873" s="306"/>
      <c r="AQ873" s="306"/>
      <c r="AR873" s="306"/>
      <c r="AS873" s="306"/>
      <c r="AT873" s="306"/>
    </row>
    <row r="874" spans="1:46" ht="76.5" x14ac:dyDescent="0.25">
      <c r="A874" s="306">
        <v>279</v>
      </c>
      <c r="B874" s="306" t="str">
        <f t="shared" si="98"/>
        <v>3075-279</v>
      </c>
      <c r="C874" s="307" t="s">
        <v>1852</v>
      </c>
      <c r="D874" s="308" t="s">
        <v>1853</v>
      </c>
      <c r="E874" s="308" t="s">
        <v>2119</v>
      </c>
      <c r="F874" s="307" t="s">
        <v>1880</v>
      </c>
      <c r="G874" s="327" t="s">
        <v>1881</v>
      </c>
      <c r="H874" s="310" t="s">
        <v>2120</v>
      </c>
      <c r="I874" s="308" t="s">
        <v>1858</v>
      </c>
      <c r="J874" s="308" t="s">
        <v>1859</v>
      </c>
      <c r="K874" s="308" t="s">
        <v>63</v>
      </c>
      <c r="L874" s="306" t="s">
        <v>1860</v>
      </c>
      <c r="M874" s="306" t="s">
        <v>59</v>
      </c>
      <c r="N874" s="306" t="s">
        <v>60</v>
      </c>
      <c r="O874" s="308" t="s">
        <v>1910</v>
      </c>
      <c r="P874" s="306" t="s">
        <v>2623</v>
      </c>
      <c r="Q874" s="315">
        <v>54686940</v>
      </c>
      <c r="R874" s="333">
        <v>1</v>
      </c>
      <c r="S874" s="312">
        <v>54686940</v>
      </c>
      <c r="T874" s="306" t="s">
        <v>1876</v>
      </c>
      <c r="U874" s="306" t="s">
        <v>1876</v>
      </c>
      <c r="V874" s="313" t="s">
        <v>411</v>
      </c>
      <c r="W874" s="314" t="s">
        <v>63</v>
      </c>
      <c r="X874" s="334" t="s">
        <v>2624</v>
      </c>
      <c r="Y874" s="313">
        <v>43131</v>
      </c>
      <c r="Z874" s="315">
        <v>54686940</v>
      </c>
      <c r="AA874" s="316" t="s">
        <v>2402</v>
      </c>
      <c r="AB874" s="317">
        <v>605</v>
      </c>
      <c r="AC874" s="313">
        <v>43132</v>
      </c>
      <c r="AD874" s="312">
        <v>54686940</v>
      </c>
      <c r="AE874" s="318">
        <f t="shared" si="99"/>
        <v>0</v>
      </c>
      <c r="AF874" s="317">
        <v>1341</v>
      </c>
      <c r="AG874" s="313">
        <v>43144</v>
      </c>
      <c r="AH874" s="312">
        <v>54686940</v>
      </c>
      <c r="AI874" s="306" t="s">
        <v>2625</v>
      </c>
      <c r="AJ874" s="306">
        <v>1104</v>
      </c>
      <c r="AK874" s="318">
        <f t="shared" si="102"/>
        <v>0</v>
      </c>
      <c r="AL874" s="312">
        <f t="shared" si="103"/>
        <v>54686940</v>
      </c>
      <c r="AM874" s="312">
        <f t="shared" si="100"/>
        <v>0</v>
      </c>
      <c r="AN874" s="306" t="s">
        <v>1863</v>
      </c>
      <c r="AO874" s="312">
        <f t="shared" si="101"/>
        <v>0</v>
      </c>
      <c r="AP874" s="306"/>
      <c r="AQ874" s="306"/>
      <c r="AR874" s="306"/>
      <c r="AS874" s="306"/>
      <c r="AT874" s="306"/>
    </row>
    <row r="875" spans="1:46" ht="76.5" x14ac:dyDescent="0.25">
      <c r="A875" s="306">
        <v>280</v>
      </c>
      <c r="B875" s="306" t="str">
        <f t="shared" si="98"/>
        <v>3075-280</v>
      </c>
      <c r="C875" s="307" t="s">
        <v>1852</v>
      </c>
      <c r="D875" s="308" t="s">
        <v>1853</v>
      </c>
      <c r="E875" s="308" t="s">
        <v>2119</v>
      </c>
      <c r="F875" s="307" t="s">
        <v>1880</v>
      </c>
      <c r="G875" s="327" t="s">
        <v>1881</v>
      </c>
      <c r="H875" s="310" t="s">
        <v>2120</v>
      </c>
      <c r="I875" s="308" t="s">
        <v>1858</v>
      </c>
      <c r="J875" s="308" t="s">
        <v>1859</v>
      </c>
      <c r="K875" s="308" t="s">
        <v>63</v>
      </c>
      <c r="L875" s="306" t="s">
        <v>1860</v>
      </c>
      <c r="M875" s="306" t="s">
        <v>59</v>
      </c>
      <c r="N875" s="306" t="s">
        <v>60</v>
      </c>
      <c r="O875" s="308" t="s">
        <v>1910</v>
      </c>
      <c r="P875" s="306" t="s">
        <v>2626</v>
      </c>
      <c r="Q875" s="315">
        <v>54686940</v>
      </c>
      <c r="R875" s="333">
        <v>1</v>
      </c>
      <c r="S875" s="312">
        <v>54686940</v>
      </c>
      <c r="T875" s="306" t="s">
        <v>1876</v>
      </c>
      <c r="U875" s="306" t="s">
        <v>1876</v>
      </c>
      <c r="V875" s="313" t="s">
        <v>411</v>
      </c>
      <c r="W875" s="314" t="s">
        <v>63</v>
      </c>
      <c r="X875" s="334" t="s">
        <v>2627</v>
      </c>
      <c r="Y875" s="313">
        <v>43131</v>
      </c>
      <c r="Z875" s="315">
        <v>54686940</v>
      </c>
      <c r="AA875" s="316" t="s">
        <v>2402</v>
      </c>
      <c r="AB875" s="317">
        <v>608</v>
      </c>
      <c r="AC875" s="313">
        <v>43132</v>
      </c>
      <c r="AD875" s="312">
        <v>54686940</v>
      </c>
      <c r="AE875" s="318">
        <f t="shared" si="99"/>
        <v>0</v>
      </c>
      <c r="AF875" s="317">
        <v>1382</v>
      </c>
      <c r="AG875" s="313">
        <v>43150</v>
      </c>
      <c r="AH875" s="312">
        <v>54686940</v>
      </c>
      <c r="AI875" s="306" t="s">
        <v>2628</v>
      </c>
      <c r="AJ875" s="306">
        <v>1285</v>
      </c>
      <c r="AK875" s="318">
        <f t="shared" si="102"/>
        <v>0</v>
      </c>
      <c r="AL875" s="312">
        <f t="shared" si="103"/>
        <v>54686940</v>
      </c>
      <c r="AM875" s="312">
        <f t="shared" si="100"/>
        <v>0</v>
      </c>
      <c r="AN875" s="306" t="s">
        <v>1863</v>
      </c>
      <c r="AO875" s="312">
        <f t="shared" si="101"/>
        <v>0</v>
      </c>
      <c r="AP875" s="306"/>
      <c r="AQ875" s="306"/>
      <c r="AR875" s="306"/>
      <c r="AS875" s="306"/>
      <c r="AT875" s="306"/>
    </row>
    <row r="876" spans="1:46" ht="76.5" x14ac:dyDescent="0.25">
      <c r="A876" s="306">
        <v>281</v>
      </c>
      <c r="B876" s="306" t="str">
        <f t="shared" si="98"/>
        <v>3075-281</v>
      </c>
      <c r="C876" s="307" t="s">
        <v>1852</v>
      </c>
      <c r="D876" s="308" t="s">
        <v>1853</v>
      </c>
      <c r="E876" s="308" t="s">
        <v>2119</v>
      </c>
      <c r="F876" s="307" t="s">
        <v>1880</v>
      </c>
      <c r="G876" s="327" t="s">
        <v>1881</v>
      </c>
      <c r="H876" s="310" t="s">
        <v>2120</v>
      </c>
      <c r="I876" s="308" t="s">
        <v>1858</v>
      </c>
      <c r="J876" s="308" t="s">
        <v>1859</v>
      </c>
      <c r="K876" s="308" t="s">
        <v>63</v>
      </c>
      <c r="L876" s="306" t="s">
        <v>1860</v>
      </c>
      <c r="M876" s="306" t="s">
        <v>59</v>
      </c>
      <c r="N876" s="306" t="s">
        <v>60</v>
      </c>
      <c r="O876" s="308" t="s">
        <v>1910</v>
      </c>
      <c r="P876" s="306" t="s">
        <v>2629</v>
      </c>
      <c r="Q876" s="315">
        <v>54686940</v>
      </c>
      <c r="R876" s="333">
        <v>1</v>
      </c>
      <c r="S876" s="312">
        <v>54686940</v>
      </c>
      <c r="T876" s="306" t="s">
        <v>1876</v>
      </c>
      <c r="U876" s="306" t="s">
        <v>1876</v>
      </c>
      <c r="V876" s="313" t="s">
        <v>411</v>
      </c>
      <c r="W876" s="314" t="s">
        <v>63</v>
      </c>
      <c r="X876" s="334" t="s">
        <v>2630</v>
      </c>
      <c r="Y876" s="313">
        <v>43131</v>
      </c>
      <c r="Z876" s="315">
        <v>54686940</v>
      </c>
      <c r="AA876" s="316" t="s">
        <v>2402</v>
      </c>
      <c r="AB876" s="317">
        <v>611</v>
      </c>
      <c r="AC876" s="313">
        <v>43132</v>
      </c>
      <c r="AD876" s="312">
        <v>54686940</v>
      </c>
      <c r="AE876" s="318">
        <f t="shared" si="99"/>
        <v>0</v>
      </c>
      <c r="AF876" s="317">
        <v>1373</v>
      </c>
      <c r="AG876" s="313">
        <v>43147</v>
      </c>
      <c r="AH876" s="312">
        <v>54686940</v>
      </c>
      <c r="AI876" s="306" t="s">
        <v>2631</v>
      </c>
      <c r="AJ876" s="306">
        <v>1279</v>
      </c>
      <c r="AK876" s="318">
        <f t="shared" si="102"/>
        <v>0</v>
      </c>
      <c r="AL876" s="312">
        <f t="shared" si="103"/>
        <v>54686940</v>
      </c>
      <c r="AM876" s="312">
        <f t="shared" si="100"/>
        <v>0</v>
      </c>
      <c r="AN876" s="306" t="s">
        <v>1863</v>
      </c>
      <c r="AO876" s="312">
        <f t="shared" si="101"/>
        <v>0</v>
      </c>
      <c r="AP876" s="306"/>
      <c r="AQ876" s="306"/>
      <c r="AR876" s="306"/>
      <c r="AS876" s="306"/>
      <c r="AT876" s="306"/>
    </row>
    <row r="877" spans="1:46" ht="76.5" x14ac:dyDescent="0.25">
      <c r="A877" s="306">
        <v>282</v>
      </c>
      <c r="B877" s="306" t="str">
        <f t="shared" si="98"/>
        <v>3075-282</v>
      </c>
      <c r="C877" s="307" t="s">
        <v>1852</v>
      </c>
      <c r="D877" s="308" t="s">
        <v>1853</v>
      </c>
      <c r="E877" s="308" t="s">
        <v>2119</v>
      </c>
      <c r="F877" s="307" t="s">
        <v>1880</v>
      </c>
      <c r="G877" s="327" t="s">
        <v>1881</v>
      </c>
      <c r="H877" s="310" t="s">
        <v>2120</v>
      </c>
      <c r="I877" s="308" t="s">
        <v>1858</v>
      </c>
      <c r="J877" s="308" t="s">
        <v>1859</v>
      </c>
      <c r="K877" s="308" t="s">
        <v>63</v>
      </c>
      <c r="L877" s="306" t="s">
        <v>1860</v>
      </c>
      <c r="M877" s="306" t="s">
        <v>59</v>
      </c>
      <c r="N877" s="306" t="s">
        <v>60</v>
      </c>
      <c r="O877" s="308" t="s">
        <v>1910</v>
      </c>
      <c r="P877" s="306" t="s">
        <v>2632</v>
      </c>
      <c r="Q877" s="315">
        <v>54686940</v>
      </c>
      <c r="R877" s="333">
        <v>1</v>
      </c>
      <c r="S877" s="312">
        <v>54686940</v>
      </c>
      <c r="T877" s="306" t="s">
        <v>1876</v>
      </c>
      <c r="U877" s="306" t="s">
        <v>1876</v>
      </c>
      <c r="V877" s="313" t="s">
        <v>411</v>
      </c>
      <c r="W877" s="314" t="s">
        <v>63</v>
      </c>
      <c r="X877" s="334" t="s">
        <v>2633</v>
      </c>
      <c r="Y877" s="313">
        <v>43131</v>
      </c>
      <c r="Z877" s="315">
        <v>54686940</v>
      </c>
      <c r="AA877" s="316" t="s">
        <v>2402</v>
      </c>
      <c r="AB877" s="317">
        <v>612</v>
      </c>
      <c r="AC877" s="313">
        <v>43132</v>
      </c>
      <c r="AD877" s="312">
        <v>54686940</v>
      </c>
      <c r="AE877" s="318">
        <f t="shared" si="99"/>
        <v>0</v>
      </c>
      <c r="AF877" s="317">
        <v>1340</v>
      </c>
      <c r="AG877" s="313">
        <v>43144</v>
      </c>
      <c r="AH877" s="312">
        <v>54686940</v>
      </c>
      <c r="AI877" s="306" t="s">
        <v>2634</v>
      </c>
      <c r="AJ877" s="306">
        <v>1097</v>
      </c>
      <c r="AK877" s="318">
        <f t="shared" si="102"/>
        <v>0</v>
      </c>
      <c r="AL877" s="312">
        <f t="shared" si="103"/>
        <v>54686940</v>
      </c>
      <c r="AM877" s="312">
        <f t="shared" si="100"/>
        <v>0</v>
      </c>
      <c r="AN877" s="306" t="s">
        <v>1863</v>
      </c>
      <c r="AO877" s="312">
        <f t="shared" si="101"/>
        <v>0</v>
      </c>
      <c r="AP877" s="306"/>
      <c r="AQ877" s="306"/>
      <c r="AR877" s="306"/>
      <c r="AS877" s="306"/>
      <c r="AT877" s="306"/>
    </row>
    <row r="878" spans="1:46" ht="76.5" x14ac:dyDescent="0.25">
      <c r="A878" s="306">
        <v>283</v>
      </c>
      <c r="B878" s="306" t="str">
        <f t="shared" si="98"/>
        <v>3075-283</v>
      </c>
      <c r="C878" s="307" t="s">
        <v>1852</v>
      </c>
      <c r="D878" s="308" t="s">
        <v>1853</v>
      </c>
      <c r="E878" s="308" t="s">
        <v>2119</v>
      </c>
      <c r="F878" s="307" t="s">
        <v>1880</v>
      </c>
      <c r="G878" s="327" t="s">
        <v>1881</v>
      </c>
      <c r="H878" s="310" t="s">
        <v>2120</v>
      </c>
      <c r="I878" s="308" t="s">
        <v>1858</v>
      </c>
      <c r="J878" s="308" t="s">
        <v>1859</v>
      </c>
      <c r="K878" s="308" t="s">
        <v>63</v>
      </c>
      <c r="L878" s="306" t="s">
        <v>1860</v>
      </c>
      <c r="M878" s="306" t="s">
        <v>59</v>
      </c>
      <c r="N878" s="306" t="s">
        <v>60</v>
      </c>
      <c r="O878" s="308" t="s">
        <v>1910</v>
      </c>
      <c r="P878" s="306" t="s">
        <v>2635</v>
      </c>
      <c r="Q878" s="315">
        <v>54686940</v>
      </c>
      <c r="R878" s="333">
        <v>1</v>
      </c>
      <c r="S878" s="312">
        <v>54686940</v>
      </c>
      <c r="T878" s="306" t="s">
        <v>1876</v>
      </c>
      <c r="U878" s="306" t="s">
        <v>1876</v>
      </c>
      <c r="V878" s="313" t="s">
        <v>411</v>
      </c>
      <c r="W878" s="314" t="s">
        <v>63</v>
      </c>
      <c r="X878" s="334" t="s">
        <v>2636</v>
      </c>
      <c r="Y878" s="313">
        <v>43131</v>
      </c>
      <c r="Z878" s="315">
        <v>54686940</v>
      </c>
      <c r="AA878" s="316" t="s">
        <v>2402</v>
      </c>
      <c r="AB878" s="317">
        <v>615</v>
      </c>
      <c r="AC878" s="313">
        <v>43132</v>
      </c>
      <c r="AD878" s="312">
        <v>54686940</v>
      </c>
      <c r="AE878" s="318">
        <f t="shared" si="99"/>
        <v>0</v>
      </c>
      <c r="AF878" s="317">
        <v>1343</v>
      </c>
      <c r="AG878" s="313">
        <v>43144</v>
      </c>
      <c r="AH878" s="312">
        <v>54686940</v>
      </c>
      <c r="AI878" s="306" t="s">
        <v>2637</v>
      </c>
      <c r="AJ878" s="306">
        <v>1100</v>
      </c>
      <c r="AK878" s="318">
        <f t="shared" si="102"/>
        <v>0</v>
      </c>
      <c r="AL878" s="312">
        <f t="shared" si="103"/>
        <v>54686940</v>
      </c>
      <c r="AM878" s="312">
        <f t="shared" si="100"/>
        <v>0</v>
      </c>
      <c r="AN878" s="306" t="s">
        <v>1863</v>
      </c>
      <c r="AO878" s="312">
        <f t="shared" si="101"/>
        <v>0</v>
      </c>
      <c r="AP878" s="306"/>
      <c r="AQ878" s="306"/>
      <c r="AR878" s="306"/>
      <c r="AS878" s="306"/>
      <c r="AT878" s="306"/>
    </row>
    <row r="879" spans="1:46" ht="76.5" x14ac:dyDescent="0.25">
      <c r="A879" s="306">
        <v>284</v>
      </c>
      <c r="B879" s="306" t="str">
        <f t="shared" si="98"/>
        <v>3075-284</v>
      </c>
      <c r="C879" s="307" t="s">
        <v>1852</v>
      </c>
      <c r="D879" s="308" t="s">
        <v>1853</v>
      </c>
      <c r="E879" s="308" t="s">
        <v>2119</v>
      </c>
      <c r="F879" s="307" t="s">
        <v>1880</v>
      </c>
      <c r="G879" s="327" t="s">
        <v>1881</v>
      </c>
      <c r="H879" s="310" t="s">
        <v>2120</v>
      </c>
      <c r="I879" s="308" t="s">
        <v>1858</v>
      </c>
      <c r="J879" s="308" t="s">
        <v>1859</v>
      </c>
      <c r="K879" s="308" t="s">
        <v>63</v>
      </c>
      <c r="L879" s="306" t="s">
        <v>1860</v>
      </c>
      <c r="M879" s="306" t="s">
        <v>59</v>
      </c>
      <c r="N879" s="306" t="s">
        <v>60</v>
      </c>
      <c r="O879" s="308" t="s">
        <v>1910</v>
      </c>
      <c r="P879" s="306" t="s">
        <v>2638</v>
      </c>
      <c r="Q879" s="315">
        <v>54686940</v>
      </c>
      <c r="R879" s="333">
        <v>1</v>
      </c>
      <c r="S879" s="312">
        <v>54686940</v>
      </c>
      <c r="T879" s="306" t="s">
        <v>1876</v>
      </c>
      <c r="U879" s="306" t="s">
        <v>1876</v>
      </c>
      <c r="V879" s="313" t="s">
        <v>411</v>
      </c>
      <c r="W879" s="314" t="s">
        <v>63</v>
      </c>
      <c r="X879" s="334" t="s">
        <v>2639</v>
      </c>
      <c r="Y879" s="313">
        <v>43131</v>
      </c>
      <c r="Z879" s="315">
        <v>54686940</v>
      </c>
      <c r="AA879" s="316" t="s">
        <v>2402</v>
      </c>
      <c r="AB879" s="317">
        <v>617</v>
      </c>
      <c r="AC879" s="313">
        <v>43132</v>
      </c>
      <c r="AD879" s="312">
        <v>54686940</v>
      </c>
      <c r="AE879" s="318">
        <f t="shared" si="99"/>
        <v>0</v>
      </c>
      <c r="AF879" s="317">
        <v>1365</v>
      </c>
      <c r="AG879" s="313">
        <v>43147</v>
      </c>
      <c r="AH879" s="312">
        <v>54686940</v>
      </c>
      <c r="AI879" s="306" t="s">
        <v>2640</v>
      </c>
      <c r="AJ879" s="306">
        <v>1277</v>
      </c>
      <c r="AK879" s="318">
        <f t="shared" si="102"/>
        <v>0</v>
      </c>
      <c r="AL879" s="312">
        <f t="shared" si="103"/>
        <v>0</v>
      </c>
      <c r="AM879" s="312">
        <f t="shared" si="100"/>
        <v>54686940</v>
      </c>
      <c r="AN879" s="306" t="s">
        <v>1863</v>
      </c>
      <c r="AO879" s="312">
        <f t="shared" si="101"/>
        <v>0</v>
      </c>
      <c r="AP879" s="306"/>
      <c r="AQ879" s="306"/>
      <c r="AR879" s="306"/>
      <c r="AS879" s="306"/>
      <c r="AT879" s="306"/>
    </row>
    <row r="880" spans="1:46" ht="76.5" x14ac:dyDescent="0.25">
      <c r="A880" s="306">
        <v>285</v>
      </c>
      <c r="B880" s="306" t="str">
        <f t="shared" si="98"/>
        <v>3075-285</v>
      </c>
      <c r="C880" s="307" t="s">
        <v>1852</v>
      </c>
      <c r="D880" s="308" t="s">
        <v>1853</v>
      </c>
      <c r="E880" s="308" t="s">
        <v>2119</v>
      </c>
      <c r="F880" s="307" t="s">
        <v>1880</v>
      </c>
      <c r="G880" s="327" t="s">
        <v>1881</v>
      </c>
      <c r="H880" s="310" t="s">
        <v>2120</v>
      </c>
      <c r="I880" s="308" t="s">
        <v>1858</v>
      </c>
      <c r="J880" s="308" t="s">
        <v>1859</v>
      </c>
      <c r="K880" s="308" t="s">
        <v>63</v>
      </c>
      <c r="L880" s="306" t="s">
        <v>1860</v>
      </c>
      <c r="M880" s="306" t="s">
        <v>59</v>
      </c>
      <c r="N880" s="306" t="s">
        <v>60</v>
      </c>
      <c r="O880" s="308" t="s">
        <v>1910</v>
      </c>
      <c r="P880" s="306" t="s">
        <v>2641</v>
      </c>
      <c r="Q880" s="315">
        <v>54686940</v>
      </c>
      <c r="R880" s="333">
        <v>1</v>
      </c>
      <c r="S880" s="312">
        <v>54686940</v>
      </c>
      <c r="T880" s="306"/>
      <c r="U880" s="306" t="s">
        <v>1876</v>
      </c>
      <c r="V880" s="313" t="s">
        <v>302</v>
      </c>
      <c r="W880" s="314" t="s">
        <v>63</v>
      </c>
      <c r="X880" s="334" t="s">
        <v>2642</v>
      </c>
      <c r="Y880" s="313">
        <v>43131</v>
      </c>
      <c r="Z880" s="315">
        <v>54686940</v>
      </c>
      <c r="AA880" s="316" t="s">
        <v>2402</v>
      </c>
      <c r="AB880" s="317">
        <v>618</v>
      </c>
      <c r="AC880" s="313">
        <v>43132</v>
      </c>
      <c r="AD880" s="312">
        <v>54686940</v>
      </c>
      <c r="AE880" s="318">
        <f t="shared" si="99"/>
        <v>0</v>
      </c>
      <c r="AF880" s="317">
        <v>1663</v>
      </c>
      <c r="AG880" s="313">
        <v>43192</v>
      </c>
      <c r="AH880" s="312">
        <v>54686940</v>
      </c>
      <c r="AI880" s="306" t="s">
        <v>2643</v>
      </c>
      <c r="AJ880" s="306">
        <v>1628</v>
      </c>
      <c r="AK880" s="318">
        <f t="shared" si="102"/>
        <v>0</v>
      </c>
      <c r="AL880" s="312">
        <f t="shared" si="103"/>
        <v>54686940</v>
      </c>
      <c r="AM880" s="312">
        <f t="shared" si="100"/>
        <v>0</v>
      </c>
      <c r="AN880" s="306" t="s">
        <v>1863</v>
      </c>
      <c r="AO880" s="312">
        <f t="shared" si="101"/>
        <v>0</v>
      </c>
      <c r="AP880" s="306"/>
      <c r="AQ880" s="306"/>
      <c r="AR880" s="306"/>
      <c r="AS880" s="306"/>
      <c r="AT880" s="306"/>
    </row>
    <row r="881" spans="1:46" ht="76.5" x14ac:dyDescent="0.25">
      <c r="A881" s="306">
        <v>286</v>
      </c>
      <c r="B881" s="306" t="str">
        <f t="shared" si="98"/>
        <v>3075-286</v>
      </c>
      <c r="C881" s="307" t="s">
        <v>1852</v>
      </c>
      <c r="D881" s="308" t="s">
        <v>1853</v>
      </c>
      <c r="E881" s="308" t="s">
        <v>2119</v>
      </c>
      <c r="F881" s="307" t="s">
        <v>1880</v>
      </c>
      <c r="G881" s="327" t="s">
        <v>1881</v>
      </c>
      <c r="H881" s="310" t="s">
        <v>2120</v>
      </c>
      <c r="I881" s="308" t="s">
        <v>1858</v>
      </c>
      <c r="J881" s="308" t="s">
        <v>1859</v>
      </c>
      <c r="K881" s="308" t="s">
        <v>63</v>
      </c>
      <c r="L881" s="306" t="s">
        <v>1860</v>
      </c>
      <c r="M881" s="306" t="s">
        <v>59</v>
      </c>
      <c r="N881" s="306" t="s">
        <v>60</v>
      </c>
      <c r="O881" s="308" t="s">
        <v>1910</v>
      </c>
      <c r="P881" s="306" t="s">
        <v>2644</v>
      </c>
      <c r="Q881" s="315">
        <v>54686940</v>
      </c>
      <c r="R881" s="333">
        <v>1</v>
      </c>
      <c r="S881" s="312">
        <v>54686940</v>
      </c>
      <c r="T881" s="306" t="s">
        <v>1876</v>
      </c>
      <c r="U881" s="306" t="s">
        <v>1876</v>
      </c>
      <c r="V881" s="313" t="s">
        <v>411</v>
      </c>
      <c r="W881" s="314" t="s">
        <v>63</v>
      </c>
      <c r="X881" s="334" t="s">
        <v>2645</v>
      </c>
      <c r="Y881" s="313">
        <v>43131</v>
      </c>
      <c r="Z881" s="315">
        <v>54686940</v>
      </c>
      <c r="AA881" s="316" t="s">
        <v>2402</v>
      </c>
      <c r="AB881" s="317">
        <v>620</v>
      </c>
      <c r="AC881" s="313">
        <v>43132</v>
      </c>
      <c r="AD881" s="312">
        <v>54686940</v>
      </c>
      <c r="AE881" s="318">
        <f t="shared" si="99"/>
        <v>0</v>
      </c>
      <c r="AF881" s="317">
        <v>1017</v>
      </c>
      <c r="AG881" s="313">
        <v>43140</v>
      </c>
      <c r="AH881" s="312">
        <v>54686940</v>
      </c>
      <c r="AI881" s="306" t="s">
        <v>2646</v>
      </c>
      <c r="AJ881" s="306">
        <v>766</v>
      </c>
      <c r="AK881" s="318">
        <f t="shared" si="102"/>
        <v>0</v>
      </c>
      <c r="AL881" s="312">
        <f t="shared" si="103"/>
        <v>0</v>
      </c>
      <c r="AM881" s="312">
        <f t="shared" si="100"/>
        <v>54686940</v>
      </c>
      <c r="AN881" s="306" t="s">
        <v>1863</v>
      </c>
      <c r="AO881" s="312">
        <f t="shared" si="101"/>
        <v>0</v>
      </c>
      <c r="AP881" s="306"/>
      <c r="AQ881" s="306"/>
      <c r="AR881" s="306"/>
      <c r="AS881" s="306"/>
      <c r="AT881" s="306"/>
    </row>
    <row r="882" spans="1:46" ht="76.5" x14ac:dyDescent="0.25">
      <c r="A882" s="306">
        <v>287</v>
      </c>
      <c r="B882" s="306" t="str">
        <f t="shared" si="98"/>
        <v>3075-287</v>
      </c>
      <c r="C882" s="307" t="s">
        <v>1852</v>
      </c>
      <c r="D882" s="308" t="s">
        <v>1853</v>
      </c>
      <c r="E882" s="308" t="s">
        <v>2119</v>
      </c>
      <c r="F882" s="307" t="s">
        <v>1880</v>
      </c>
      <c r="G882" s="327" t="s">
        <v>1881</v>
      </c>
      <c r="H882" s="310" t="s">
        <v>2120</v>
      </c>
      <c r="I882" s="308" t="s">
        <v>1858</v>
      </c>
      <c r="J882" s="308" t="s">
        <v>1859</v>
      </c>
      <c r="K882" s="308" t="s">
        <v>63</v>
      </c>
      <c r="L882" s="306" t="s">
        <v>1860</v>
      </c>
      <c r="M882" s="306" t="s">
        <v>59</v>
      </c>
      <c r="N882" s="306" t="s">
        <v>60</v>
      </c>
      <c r="O882" s="308" t="s">
        <v>1910</v>
      </c>
      <c r="P882" s="306" t="s">
        <v>2647</v>
      </c>
      <c r="Q882" s="315">
        <v>54686940</v>
      </c>
      <c r="R882" s="333">
        <v>1</v>
      </c>
      <c r="S882" s="312">
        <v>54686940</v>
      </c>
      <c r="T882" s="306" t="s">
        <v>1876</v>
      </c>
      <c r="U882" s="306" t="s">
        <v>1876</v>
      </c>
      <c r="V882" s="313" t="s">
        <v>411</v>
      </c>
      <c r="W882" s="314" t="s">
        <v>63</v>
      </c>
      <c r="X882" s="334" t="s">
        <v>2648</v>
      </c>
      <c r="Y882" s="313">
        <v>43131</v>
      </c>
      <c r="Z882" s="315">
        <v>54686940</v>
      </c>
      <c r="AA882" s="316" t="s">
        <v>2402</v>
      </c>
      <c r="AB882" s="317">
        <v>623</v>
      </c>
      <c r="AC882" s="313">
        <v>43132</v>
      </c>
      <c r="AD882" s="312">
        <v>54686940</v>
      </c>
      <c r="AE882" s="318">
        <f t="shared" si="99"/>
        <v>0</v>
      </c>
      <c r="AF882" s="317">
        <v>1370</v>
      </c>
      <c r="AG882" s="313">
        <v>43147</v>
      </c>
      <c r="AH882" s="312">
        <v>54686940</v>
      </c>
      <c r="AI882" s="306" t="s">
        <v>2649</v>
      </c>
      <c r="AJ882" s="306">
        <v>1270</v>
      </c>
      <c r="AK882" s="318">
        <f t="shared" si="102"/>
        <v>0</v>
      </c>
      <c r="AL882" s="312">
        <f t="shared" si="103"/>
        <v>54686940</v>
      </c>
      <c r="AM882" s="312">
        <f t="shared" si="100"/>
        <v>0</v>
      </c>
      <c r="AN882" s="306" t="s">
        <v>1863</v>
      </c>
      <c r="AO882" s="312">
        <f t="shared" si="101"/>
        <v>0</v>
      </c>
      <c r="AP882" s="306"/>
      <c r="AQ882" s="306"/>
      <c r="AR882" s="306"/>
      <c r="AS882" s="306"/>
      <c r="AT882" s="306"/>
    </row>
    <row r="883" spans="1:46" ht="76.5" x14ac:dyDescent="0.25">
      <c r="A883" s="306">
        <v>288</v>
      </c>
      <c r="B883" s="306" t="str">
        <f t="shared" si="98"/>
        <v>3075-288</v>
      </c>
      <c r="C883" s="307" t="s">
        <v>1852</v>
      </c>
      <c r="D883" s="308" t="s">
        <v>1853</v>
      </c>
      <c r="E883" s="308" t="s">
        <v>2119</v>
      </c>
      <c r="F883" s="307" t="s">
        <v>1880</v>
      </c>
      <c r="G883" s="327" t="s">
        <v>1881</v>
      </c>
      <c r="H883" s="310" t="s">
        <v>2120</v>
      </c>
      <c r="I883" s="308" t="s">
        <v>1858</v>
      </c>
      <c r="J883" s="308" t="s">
        <v>1859</v>
      </c>
      <c r="K883" s="308" t="s">
        <v>63</v>
      </c>
      <c r="L883" s="306" t="s">
        <v>1860</v>
      </c>
      <c r="M883" s="306" t="s">
        <v>59</v>
      </c>
      <c r="N883" s="306" t="s">
        <v>60</v>
      </c>
      <c r="O883" s="308" t="s">
        <v>1910</v>
      </c>
      <c r="P883" s="306" t="s">
        <v>2650</v>
      </c>
      <c r="Q883" s="315">
        <v>54686940</v>
      </c>
      <c r="R883" s="333">
        <v>1</v>
      </c>
      <c r="S883" s="312">
        <v>54686940</v>
      </c>
      <c r="T883" s="306" t="s">
        <v>1876</v>
      </c>
      <c r="U883" s="306" t="s">
        <v>1876</v>
      </c>
      <c r="V883" s="313" t="s">
        <v>411</v>
      </c>
      <c r="W883" s="314" t="s">
        <v>63</v>
      </c>
      <c r="X883" s="334" t="s">
        <v>2651</v>
      </c>
      <c r="Y883" s="313">
        <v>43131</v>
      </c>
      <c r="Z883" s="315">
        <v>54686940</v>
      </c>
      <c r="AA883" s="316" t="s">
        <v>2402</v>
      </c>
      <c r="AB883" s="317">
        <v>625</v>
      </c>
      <c r="AC883" s="313">
        <v>43132</v>
      </c>
      <c r="AD883" s="312">
        <v>54686940</v>
      </c>
      <c r="AE883" s="318">
        <f t="shared" si="99"/>
        <v>0</v>
      </c>
      <c r="AF883" s="317">
        <v>1339</v>
      </c>
      <c r="AG883" s="313">
        <v>43144</v>
      </c>
      <c r="AH883" s="312">
        <v>54686940</v>
      </c>
      <c r="AI883" s="306" t="s">
        <v>2652</v>
      </c>
      <c r="AJ883" s="306">
        <v>1105</v>
      </c>
      <c r="AK883" s="318">
        <f t="shared" si="102"/>
        <v>0</v>
      </c>
      <c r="AL883" s="312">
        <f t="shared" si="103"/>
        <v>54686940</v>
      </c>
      <c r="AM883" s="312">
        <f t="shared" si="100"/>
        <v>0</v>
      </c>
      <c r="AN883" s="306" t="s">
        <v>1863</v>
      </c>
      <c r="AO883" s="312">
        <f t="shared" si="101"/>
        <v>0</v>
      </c>
      <c r="AP883" s="306"/>
      <c r="AQ883" s="306"/>
      <c r="AR883" s="306"/>
      <c r="AS883" s="306"/>
      <c r="AT883" s="306"/>
    </row>
    <row r="884" spans="1:46" ht="76.5" x14ac:dyDescent="0.25">
      <c r="A884" s="306">
        <v>289</v>
      </c>
      <c r="B884" s="306" t="str">
        <f t="shared" si="98"/>
        <v>3075-289</v>
      </c>
      <c r="C884" s="307" t="s">
        <v>1852</v>
      </c>
      <c r="D884" s="308" t="s">
        <v>1853</v>
      </c>
      <c r="E884" s="308" t="s">
        <v>2119</v>
      </c>
      <c r="F884" s="307" t="s">
        <v>1880</v>
      </c>
      <c r="G884" s="327" t="s">
        <v>1881</v>
      </c>
      <c r="H884" s="310" t="s">
        <v>2120</v>
      </c>
      <c r="I884" s="308" t="s">
        <v>1858</v>
      </c>
      <c r="J884" s="308" t="s">
        <v>1859</v>
      </c>
      <c r="K884" s="308" t="s">
        <v>63</v>
      </c>
      <c r="L884" s="306" t="s">
        <v>1860</v>
      </c>
      <c r="M884" s="306" t="s">
        <v>59</v>
      </c>
      <c r="N884" s="306" t="s">
        <v>60</v>
      </c>
      <c r="O884" s="308" t="s">
        <v>1910</v>
      </c>
      <c r="P884" s="306" t="s">
        <v>2653</v>
      </c>
      <c r="Q884" s="315">
        <v>54686940</v>
      </c>
      <c r="R884" s="333">
        <v>1</v>
      </c>
      <c r="S884" s="312">
        <v>54686940</v>
      </c>
      <c r="T884" s="306" t="s">
        <v>1876</v>
      </c>
      <c r="U884" s="306" t="s">
        <v>1876</v>
      </c>
      <c r="V884" s="313" t="s">
        <v>411</v>
      </c>
      <c r="W884" s="314" t="s">
        <v>63</v>
      </c>
      <c r="X884" s="334" t="s">
        <v>2654</v>
      </c>
      <c r="Y884" s="313">
        <v>43131</v>
      </c>
      <c r="Z884" s="315">
        <v>54686940</v>
      </c>
      <c r="AA884" s="316" t="s">
        <v>2402</v>
      </c>
      <c r="AB884" s="317">
        <v>596</v>
      </c>
      <c r="AC884" s="313">
        <v>43132</v>
      </c>
      <c r="AD884" s="312">
        <v>54686940</v>
      </c>
      <c r="AE884" s="318">
        <f t="shared" si="99"/>
        <v>0</v>
      </c>
      <c r="AF884" s="317">
        <v>1337</v>
      </c>
      <c r="AG884" s="313">
        <v>43144</v>
      </c>
      <c r="AH884" s="312">
        <v>54686940</v>
      </c>
      <c r="AI884" s="306" t="s">
        <v>2655</v>
      </c>
      <c r="AJ884" s="306">
        <v>1101</v>
      </c>
      <c r="AK884" s="318">
        <f t="shared" si="102"/>
        <v>0</v>
      </c>
      <c r="AL884" s="312">
        <f t="shared" si="103"/>
        <v>54686940</v>
      </c>
      <c r="AM884" s="312">
        <f t="shared" si="100"/>
        <v>0</v>
      </c>
      <c r="AN884" s="306" t="s">
        <v>1863</v>
      </c>
      <c r="AO884" s="312">
        <f t="shared" si="101"/>
        <v>0</v>
      </c>
      <c r="AP884" s="306"/>
      <c r="AQ884" s="306"/>
      <c r="AR884" s="306"/>
      <c r="AS884" s="306"/>
      <c r="AT884" s="306"/>
    </row>
    <row r="885" spans="1:46" ht="76.5" x14ac:dyDescent="0.25">
      <c r="A885" s="306">
        <v>290</v>
      </c>
      <c r="B885" s="306" t="str">
        <f t="shared" si="98"/>
        <v>3075-290</v>
      </c>
      <c r="C885" s="307" t="s">
        <v>1852</v>
      </c>
      <c r="D885" s="308" t="s">
        <v>1853</v>
      </c>
      <c r="E885" s="308" t="s">
        <v>2119</v>
      </c>
      <c r="F885" s="307" t="s">
        <v>1880</v>
      </c>
      <c r="G885" s="327" t="s">
        <v>1881</v>
      </c>
      <c r="H885" s="310" t="s">
        <v>2120</v>
      </c>
      <c r="I885" s="308" t="s">
        <v>1858</v>
      </c>
      <c r="J885" s="308" t="s">
        <v>1859</v>
      </c>
      <c r="K885" s="308" t="s">
        <v>63</v>
      </c>
      <c r="L885" s="306" t="s">
        <v>1860</v>
      </c>
      <c r="M885" s="306" t="s">
        <v>59</v>
      </c>
      <c r="N885" s="306" t="s">
        <v>60</v>
      </c>
      <c r="O885" s="308" t="s">
        <v>1910</v>
      </c>
      <c r="P885" s="306" t="s">
        <v>2656</v>
      </c>
      <c r="Q885" s="315">
        <v>54686940</v>
      </c>
      <c r="R885" s="333">
        <v>1</v>
      </c>
      <c r="S885" s="312">
        <v>54686940</v>
      </c>
      <c r="T885" s="306" t="s">
        <v>1876</v>
      </c>
      <c r="U885" s="306" t="s">
        <v>1876</v>
      </c>
      <c r="V885" s="313" t="s">
        <v>411</v>
      </c>
      <c r="W885" s="314" t="s">
        <v>63</v>
      </c>
      <c r="X885" s="334" t="s">
        <v>2657</v>
      </c>
      <c r="Y885" s="313">
        <v>43131</v>
      </c>
      <c r="Z885" s="315">
        <v>54686940</v>
      </c>
      <c r="AA885" s="316" t="s">
        <v>2402</v>
      </c>
      <c r="AB885" s="317">
        <v>597</v>
      </c>
      <c r="AC885" s="313">
        <v>43132</v>
      </c>
      <c r="AD885" s="312">
        <v>54686940</v>
      </c>
      <c r="AE885" s="318">
        <f t="shared" si="99"/>
        <v>0</v>
      </c>
      <c r="AF885" s="317">
        <v>1372</v>
      </c>
      <c r="AG885" s="313">
        <v>43147</v>
      </c>
      <c r="AH885" s="312">
        <v>54686940</v>
      </c>
      <c r="AI885" s="306" t="s">
        <v>2658</v>
      </c>
      <c r="AJ885" s="306">
        <v>1271</v>
      </c>
      <c r="AK885" s="318">
        <f t="shared" si="102"/>
        <v>0</v>
      </c>
      <c r="AL885" s="312">
        <f t="shared" si="103"/>
        <v>54686940</v>
      </c>
      <c r="AM885" s="312">
        <f t="shared" si="100"/>
        <v>0</v>
      </c>
      <c r="AN885" s="306" t="s">
        <v>1863</v>
      </c>
      <c r="AO885" s="312">
        <f t="shared" si="101"/>
        <v>0</v>
      </c>
      <c r="AP885" s="306"/>
      <c r="AQ885" s="306"/>
      <c r="AR885" s="306"/>
      <c r="AS885" s="306"/>
      <c r="AT885" s="306"/>
    </row>
    <row r="886" spans="1:46" ht="102" x14ac:dyDescent="0.25">
      <c r="A886" s="306">
        <v>291</v>
      </c>
      <c r="B886" s="306" t="str">
        <f t="shared" si="98"/>
        <v>3075-291</v>
      </c>
      <c r="C886" s="307" t="s">
        <v>1852</v>
      </c>
      <c r="D886" s="308" t="s">
        <v>1853</v>
      </c>
      <c r="E886" s="308" t="s">
        <v>2119</v>
      </c>
      <c r="F886" s="307" t="s">
        <v>1880</v>
      </c>
      <c r="G886" s="327" t="s">
        <v>1881</v>
      </c>
      <c r="H886" s="310" t="s">
        <v>2120</v>
      </c>
      <c r="I886" s="308" t="s">
        <v>1858</v>
      </c>
      <c r="J886" s="308" t="s">
        <v>1859</v>
      </c>
      <c r="K886" s="308" t="s">
        <v>63</v>
      </c>
      <c r="L886" s="306" t="s">
        <v>1860</v>
      </c>
      <c r="M886" s="306" t="s">
        <v>59</v>
      </c>
      <c r="N886" s="306" t="s">
        <v>60</v>
      </c>
      <c r="O886" s="308" t="s">
        <v>1910</v>
      </c>
      <c r="P886" s="306" t="s">
        <v>2659</v>
      </c>
      <c r="Q886" s="315">
        <v>54686940</v>
      </c>
      <c r="R886" s="333">
        <v>1</v>
      </c>
      <c r="S886" s="312">
        <v>0</v>
      </c>
      <c r="T886" s="306"/>
      <c r="U886" s="306" t="s">
        <v>1876</v>
      </c>
      <c r="V886" s="313"/>
      <c r="W886" s="314" t="s">
        <v>63</v>
      </c>
      <c r="X886" s="334" t="s">
        <v>2660</v>
      </c>
      <c r="Y886" s="313">
        <v>43131</v>
      </c>
      <c r="Z886" s="315">
        <f>54686940-54686940</f>
        <v>0</v>
      </c>
      <c r="AA886" s="316" t="s">
        <v>2402</v>
      </c>
      <c r="AB886" s="317"/>
      <c r="AC886" s="313"/>
      <c r="AD886" s="312"/>
      <c r="AE886" s="318">
        <v>0</v>
      </c>
      <c r="AF886" s="317"/>
      <c r="AG886" s="313"/>
      <c r="AH886" s="312"/>
      <c r="AI886" s="306"/>
      <c r="AJ886" s="306"/>
      <c r="AK886" s="318">
        <f t="shared" si="102"/>
        <v>0</v>
      </c>
      <c r="AL886" s="312">
        <v>0</v>
      </c>
      <c r="AM886" s="312">
        <f t="shared" si="100"/>
        <v>0</v>
      </c>
      <c r="AN886" s="306" t="s">
        <v>1863</v>
      </c>
      <c r="AO886" s="312">
        <f t="shared" si="101"/>
        <v>0</v>
      </c>
      <c r="AP886" s="306" t="s">
        <v>2661</v>
      </c>
      <c r="AQ886" s="306"/>
      <c r="AR886" s="306" t="s">
        <v>2300</v>
      </c>
      <c r="AS886" s="306"/>
      <c r="AT886" s="306"/>
    </row>
    <row r="887" spans="1:46" ht="76.5" x14ac:dyDescent="0.25">
      <c r="A887" s="306">
        <v>292</v>
      </c>
      <c r="B887" s="306" t="str">
        <f t="shared" si="98"/>
        <v>3075-292</v>
      </c>
      <c r="C887" s="307" t="s">
        <v>1852</v>
      </c>
      <c r="D887" s="308" t="s">
        <v>1853</v>
      </c>
      <c r="E887" s="308" t="s">
        <v>2119</v>
      </c>
      <c r="F887" s="307" t="s">
        <v>1880</v>
      </c>
      <c r="G887" s="327" t="s">
        <v>1881</v>
      </c>
      <c r="H887" s="310" t="s">
        <v>2120</v>
      </c>
      <c r="I887" s="308" t="s">
        <v>1858</v>
      </c>
      <c r="J887" s="308" t="s">
        <v>1859</v>
      </c>
      <c r="K887" s="308" t="s">
        <v>63</v>
      </c>
      <c r="L887" s="306" t="s">
        <v>1860</v>
      </c>
      <c r="M887" s="306" t="s">
        <v>59</v>
      </c>
      <c r="N887" s="306" t="s">
        <v>60</v>
      </c>
      <c r="O887" s="308" t="s">
        <v>1910</v>
      </c>
      <c r="P887" s="306" t="s">
        <v>2662</v>
      </c>
      <c r="Q887" s="315">
        <v>54686940</v>
      </c>
      <c r="R887" s="333">
        <v>1</v>
      </c>
      <c r="S887" s="312">
        <v>54686940</v>
      </c>
      <c r="T887" s="306" t="s">
        <v>1876</v>
      </c>
      <c r="U887" s="306" t="s">
        <v>1876</v>
      </c>
      <c r="V887" s="313" t="s">
        <v>294</v>
      </c>
      <c r="W887" s="314" t="s">
        <v>63</v>
      </c>
      <c r="X887" s="334" t="s">
        <v>2663</v>
      </c>
      <c r="Y887" s="313">
        <v>43131</v>
      </c>
      <c r="Z887" s="315">
        <v>54686940</v>
      </c>
      <c r="AA887" s="316" t="s">
        <v>2402</v>
      </c>
      <c r="AB887" s="317">
        <v>599</v>
      </c>
      <c r="AC887" s="313">
        <v>43132</v>
      </c>
      <c r="AD887" s="312">
        <v>54686940</v>
      </c>
      <c r="AE887" s="318">
        <f t="shared" ref="AE887:AE949" si="104">S887-Z887</f>
        <v>0</v>
      </c>
      <c r="AF887" s="317">
        <v>1485</v>
      </c>
      <c r="AG887" s="313">
        <v>43160</v>
      </c>
      <c r="AH887" s="312">
        <v>54686940</v>
      </c>
      <c r="AI887" s="306" t="s">
        <v>2664</v>
      </c>
      <c r="AJ887" s="306">
        <v>1460</v>
      </c>
      <c r="AK887" s="318">
        <f t="shared" si="102"/>
        <v>0</v>
      </c>
      <c r="AL887" s="312">
        <f>VLOOKUP(AB887,RP,13,FALSE)</f>
        <v>54686940</v>
      </c>
      <c r="AM887" s="312">
        <f t="shared" si="100"/>
        <v>0</v>
      </c>
      <c r="AN887" s="306" t="s">
        <v>1863</v>
      </c>
      <c r="AO887" s="312">
        <f t="shared" si="101"/>
        <v>0</v>
      </c>
      <c r="AP887" s="306"/>
      <c r="AQ887" s="306"/>
      <c r="AR887" s="306"/>
      <c r="AS887" s="306"/>
      <c r="AT887" s="306"/>
    </row>
    <row r="888" spans="1:46" ht="76.5" x14ac:dyDescent="0.25">
      <c r="A888" s="306">
        <v>293</v>
      </c>
      <c r="B888" s="306" t="str">
        <f t="shared" si="98"/>
        <v>3075-293</v>
      </c>
      <c r="C888" s="307" t="s">
        <v>1852</v>
      </c>
      <c r="D888" s="308" t="s">
        <v>1853</v>
      </c>
      <c r="E888" s="308" t="s">
        <v>2119</v>
      </c>
      <c r="F888" s="307" t="s">
        <v>1880</v>
      </c>
      <c r="G888" s="327" t="s">
        <v>1881</v>
      </c>
      <c r="H888" s="310" t="s">
        <v>2120</v>
      </c>
      <c r="I888" s="308" t="s">
        <v>1858</v>
      </c>
      <c r="J888" s="308" t="s">
        <v>1859</v>
      </c>
      <c r="K888" s="308" t="s">
        <v>63</v>
      </c>
      <c r="L888" s="306" t="s">
        <v>1860</v>
      </c>
      <c r="M888" s="306" t="s">
        <v>59</v>
      </c>
      <c r="N888" s="306" t="s">
        <v>60</v>
      </c>
      <c r="O888" s="308" t="s">
        <v>1910</v>
      </c>
      <c r="P888" s="306" t="s">
        <v>2665</v>
      </c>
      <c r="Q888" s="315">
        <v>54686940</v>
      </c>
      <c r="R888" s="333">
        <v>1</v>
      </c>
      <c r="S888" s="312">
        <v>54686940</v>
      </c>
      <c r="T888" s="306" t="s">
        <v>1876</v>
      </c>
      <c r="U888" s="306" t="s">
        <v>1876</v>
      </c>
      <c r="V888" s="313" t="s">
        <v>294</v>
      </c>
      <c r="W888" s="314" t="s">
        <v>63</v>
      </c>
      <c r="X888" s="334" t="s">
        <v>2666</v>
      </c>
      <c r="Y888" s="313">
        <v>43131</v>
      </c>
      <c r="Z888" s="315">
        <v>54686940</v>
      </c>
      <c r="AA888" s="316" t="s">
        <v>2402</v>
      </c>
      <c r="AB888" s="317">
        <v>600</v>
      </c>
      <c r="AC888" s="313">
        <v>43132</v>
      </c>
      <c r="AD888" s="312">
        <v>54686940</v>
      </c>
      <c r="AE888" s="318">
        <f t="shared" si="104"/>
        <v>0</v>
      </c>
      <c r="AF888" s="317">
        <v>1483</v>
      </c>
      <c r="AG888" s="313">
        <v>43160</v>
      </c>
      <c r="AH888" s="312">
        <v>54686940</v>
      </c>
      <c r="AI888" s="306" t="s">
        <v>2667</v>
      </c>
      <c r="AJ888" s="306">
        <v>1461</v>
      </c>
      <c r="AK888" s="318">
        <f t="shared" si="102"/>
        <v>0</v>
      </c>
      <c r="AL888" s="312">
        <f>VLOOKUP(AB888,RP,13,FALSE)</f>
        <v>54686940</v>
      </c>
      <c r="AM888" s="312">
        <f t="shared" si="100"/>
        <v>0</v>
      </c>
      <c r="AN888" s="306" t="s">
        <v>1863</v>
      </c>
      <c r="AO888" s="312">
        <f t="shared" si="101"/>
        <v>0</v>
      </c>
      <c r="AP888" s="306"/>
      <c r="AQ888" s="306"/>
      <c r="AR888" s="306"/>
      <c r="AS888" s="306"/>
      <c r="AT888" s="306"/>
    </row>
    <row r="889" spans="1:46" ht="63.75" x14ac:dyDescent="0.25">
      <c r="A889" s="306">
        <v>294</v>
      </c>
      <c r="B889" s="306" t="str">
        <f t="shared" si="98"/>
        <v>3075-294</v>
      </c>
      <c r="C889" s="307" t="s">
        <v>1852</v>
      </c>
      <c r="D889" s="308" t="s">
        <v>1853</v>
      </c>
      <c r="E889" s="307" t="s">
        <v>1870</v>
      </c>
      <c r="F889" s="307" t="s">
        <v>1871</v>
      </c>
      <c r="G889" s="309" t="s">
        <v>1872</v>
      </c>
      <c r="H889" s="310" t="s">
        <v>1873</v>
      </c>
      <c r="I889" s="308" t="s">
        <v>1858</v>
      </c>
      <c r="J889" s="308" t="s">
        <v>1859</v>
      </c>
      <c r="K889" s="308" t="s">
        <v>63</v>
      </c>
      <c r="L889" s="306" t="s">
        <v>1860</v>
      </c>
      <c r="M889" s="306" t="s">
        <v>59</v>
      </c>
      <c r="N889" s="306" t="s">
        <v>60</v>
      </c>
      <c r="O889" s="308" t="s">
        <v>1874</v>
      </c>
      <c r="P889" s="322" t="s">
        <v>2668</v>
      </c>
      <c r="Q889" s="311">
        <v>22950000</v>
      </c>
      <c r="R889" s="306">
        <v>1</v>
      </c>
      <c r="S889" s="312">
        <v>22950000</v>
      </c>
      <c r="T889" s="306"/>
      <c r="U889" s="306" t="s">
        <v>1876</v>
      </c>
      <c r="V889" s="313" t="s">
        <v>302</v>
      </c>
      <c r="W889" s="314" t="s">
        <v>63</v>
      </c>
      <c r="X889" s="334" t="s">
        <v>2669</v>
      </c>
      <c r="Y889" s="313">
        <v>43131</v>
      </c>
      <c r="Z889" s="315">
        <v>22950000</v>
      </c>
      <c r="AA889" s="316" t="s">
        <v>2442</v>
      </c>
      <c r="AB889" s="317">
        <v>602</v>
      </c>
      <c r="AC889" s="313">
        <v>43132</v>
      </c>
      <c r="AD889" s="312">
        <v>22950000</v>
      </c>
      <c r="AE889" s="318">
        <f t="shared" si="104"/>
        <v>0</v>
      </c>
      <c r="AF889" s="317">
        <v>1781</v>
      </c>
      <c r="AG889" s="313">
        <v>43202</v>
      </c>
      <c r="AH889" s="312">
        <v>22950000</v>
      </c>
      <c r="AI889" s="306" t="s">
        <v>2670</v>
      </c>
      <c r="AJ889" s="306">
        <v>1856</v>
      </c>
      <c r="AK889" s="318">
        <f t="shared" si="102"/>
        <v>0</v>
      </c>
      <c r="AL889" s="312">
        <f>VLOOKUP(AB889,RP,13,FALSE)</f>
        <v>0</v>
      </c>
      <c r="AM889" s="312">
        <f t="shared" si="100"/>
        <v>22950000</v>
      </c>
      <c r="AN889" s="306" t="s">
        <v>1863</v>
      </c>
      <c r="AO889" s="312">
        <f t="shared" si="101"/>
        <v>0</v>
      </c>
      <c r="AP889" s="306"/>
      <c r="AQ889" s="306"/>
      <c r="AR889" s="306"/>
      <c r="AS889" s="306"/>
      <c r="AT889" s="306"/>
    </row>
    <row r="890" spans="1:46" ht="63.75" x14ac:dyDescent="0.25">
      <c r="A890" s="306">
        <v>295</v>
      </c>
      <c r="B890" s="306" t="str">
        <f t="shared" si="98"/>
        <v>3075-295</v>
      </c>
      <c r="C890" s="307" t="s">
        <v>1852</v>
      </c>
      <c r="D890" s="308" t="s">
        <v>1853</v>
      </c>
      <c r="E890" s="307" t="s">
        <v>1870</v>
      </c>
      <c r="F890" s="307" t="s">
        <v>1871</v>
      </c>
      <c r="G890" s="309" t="s">
        <v>1872</v>
      </c>
      <c r="H890" s="310" t="s">
        <v>1873</v>
      </c>
      <c r="I890" s="308" t="s">
        <v>1858</v>
      </c>
      <c r="J890" s="308" t="s">
        <v>1859</v>
      </c>
      <c r="K890" s="308" t="s">
        <v>63</v>
      </c>
      <c r="L890" s="306" t="s">
        <v>1860</v>
      </c>
      <c r="M890" s="306" t="s">
        <v>59</v>
      </c>
      <c r="N890" s="306" t="s">
        <v>60</v>
      </c>
      <c r="O890" s="308" t="s">
        <v>1874</v>
      </c>
      <c r="P890" s="322" t="s">
        <v>2671</v>
      </c>
      <c r="Q890" s="311">
        <v>59034400</v>
      </c>
      <c r="R890" s="306">
        <v>1</v>
      </c>
      <c r="S890" s="312">
        <v>59034400</v>
      </c>
      <c r="T890" s="306"/>
      <c r="U890" s="306" t="s">
        <v>1876</v>
      </c>
      <c r="V890" s="320" t="s">
        <v>302</v>
      </c>
      <c r="W890" s="314" t="s">
        <v>63</v>
      </c>
      <c r="X890" s="334" t="s">
        <v>2672</v>
      </c>
      <c r="Y890" s="313">
        <v>43131</v>
      </c>
      <c r="Z890" s="315">
        <v>59034400</v>
      </c>
      <c r="AA890" s="316" t="s">
        <v>2442</v>
      </c>
      <c r="AB890" s="317">
        <v>604</v>
      </c>
      <c r="AC890" s="313">
        <v>43132</v>
      </c>
      <c r="AD890" s="312">
        <v>59034400</v>
      </c>
      <c r="AE890" s="318">
        <f t="shared" si="104"/>
        <v>0</v>
      </c>
      <c r="AF890" s="317"/>
      <c r="AG890" s="313"/>
      <c r="AH890" s="312"/>
      <c r="AI890" s="306"/>
      <c r="AJ890" s="306"/>
      <c r="AK890" s="318">
        <f t="shared" si="102"/>
        <v>59034400</v>
      </c>
      <c r="AL890" s="312">
        <v>0</v>
      </c>
      <c r="AM890" s="312">
        <f t="shared" si="100"/>
        <v>0</v>
      </c>
      <c r="AN890" s="306" t="s">
        <v>1863</v>
      </c>
      <c r="AO890" s="312">
        <f t="shared" si="101"/>
        <v>59034400</v>
      </c>
      <c r="AP890" s="306"/>
      <c r="AQ890" s="306"/>
      <c r="AR890" s="306"/>
      <c r="AS890" s="306"/>
      <c r="AT890" s="306"/>
    </row>
    <row r="891" spans="1:46" ht="63.75" x14ac:dyDescent="0.25">
      <c r="A891" s="306">
        <v>296</v>
      </c>
      <c r="B891" s="306" t="str">
        <f t="shared" si="98"/>
        <v>3075-296</v>
      </c>
      <c r="C891" s="307" t="s">
        <v>1852</v>
      </c>
      <c r="D891" s="308" t="s">
        <v>1853</v>
      </c>
      <c r="E891" s="307" t="s">
        <v>1870</v>
      </c>
      <c r="F891" s="307" t="s">
        <v>1871</v>
      </c>
      <c r="G891" s="309" t="s">
        <v>1872</v>
      </c>
      <c r="H891" s="310" t="s">
        <v>1873</v>
      </c>
      <c r="I891" s="308" t="s">
        <v>1858</v>
      </c>
      <c r="J891" s="308" t="s">
        <v>1859</v>
      </c>
      <c r="K891" s="308" t="s">
        <v>63</v>
      </c>
      <c r="L891" s="306" t="s">
        <v>1860</v>
      </c>
      <c r="M891" s="306" t="s">
        <v>59</v>
      </c>
      <c r="N891" s="306" t="s">
        <v>60</v>
      </c>
      <c r="O891" s="308" t="s">
        <v>1874</v>
      </c>
      <c r="P891" s="322" t="s">
        <v>2673</v>
      </c>
      <c r="Q891" s="311">
        <v>81785300</v>
      </c>
      <c r="R891" s="306">
        <v>1</v>
      </c>
      <c r="S891" s="312">
        <v>81785300</v>
      </c>
      <c r="T891" s="306"/>
      <c r="U891" s="306" t="s">
        <v>1876</v>
      </c>
      <c r="V891" s="313" t="s">
        <v>302</v>
      </c>
      <c r="W891" s="314" t="s">
        <v>63</v>
      </c>
      <c r="X891" s="334" t="s">
        <v>2674</v>
      </c>
      <c r="Y891" s="313">
        <v>43131</v>
      </c>
      <c r="Z891" s="315">
        <v>81785300</v>
      </c>
      <c r="AA891" s="316" t="s">
        <v>2442</v>
      </c>
      <c r="AB891" s="317">
        <v>607</v>
      </c>
      <c r="AC891" s="313">
        <v>43132</v>
      </c>
      <c r="AD891" s="312">
        <v>81785300</v>
      </c>
      <c r="AE891" s="318">
        <f t="shared" si="104"/>
        <v>0</v>
      </c>
      <c r="AF891" s="317">
        <v>1782</v>
      </c>
      <c r="AG891" s="313">
        <v>43202</v>
      </c>
      <c r="AH891" s="312">
        <v>81785300</v>
      </c>
      <c r="AI891" s="306" t="s">
        <v>2675</v>
      </c>
      <c r="AJ891" s="306">
        <v>1857</v>
      </c>
      <c r="AK891" s="318">
        <f t="shared" si="102"/>
        <v>0</v>
      </c>
      <c r="AL891" s="312">
        <f>VLOOKUP(AB891,RP,13,FALSE)</f>
        <v>0</v>
      </c>
      <c r="AM891" s="312">
        <f t="shared" si="100"/>
        <v>81785300</v>
      </c>
      <c r="AN891" s="306" t="s">
        <v>1863</v>
      </c>
      <c r="AO891" s="312">
        <f t="shared" si="101"/>
        <v>0</v>
      </c>
      <c r="AP891" s="306"/>
      <c r="AQ891" s="306"/>
      <c r="AR891" s="306"/>
      <c r="AS891" s="306"/>
      <c r="AT891" s="306"/>
    </row>
    <row r="892" spans="1:46" ht="63.75" x14ac:dyDescent="0.25">
      <c r="A892" s="306">
        <v>297</v>
      </c>
      <c r="B892" s="306" t="str">
        <f t="shared" si="98"/>
        <v>3075-297</v>
      </c>
      <c r="C892" s="307" t="s">
        <v>1852</v>
      </c>
      <c r="D892" s="308" t="s">
        <v>1853</v>
      </c>
      <c r="E892" s="307" t="s">
        <v>1870</v>
      </c>
      <c r="F892" s="307" t="s">
        <v>1871</v>
      </c>
      <c r="G892" s="309" t="s">
        <v>1872</v>
      </c>
      <c r="H892" s="310" t="s">
        <v>1873</v>
      </c>
      <c r="I892" s="308" t="s">
        <v>1858</v>
      </c>
      <c r="J892" s="308" t="s">
        <v>1859</v>
      </c>
      <c r="K892" s="308" t="s">
        <v>63</v>
      </c>
      <c r="L892" s="306" t="s">
        <v>1860</v>
      </c>
      <c r="M892" s="306" t="s">
        <v>59</v>
      </c>
      <c r="N892" s="306" t="s">
        <v>60</v>
      </c>
      <c r="O892" s="308" t="s">
        <v>1874</v>
      </c>
      <c r="P892" s="322" t="s">
        <v>2676</v>
      </c>
      <c r="Q892" s="311">
        <v>64571600</v>
      </c>
      <c r="R892" s="306">
        <v>1</v>
      </c>
      <c r="S892" s="312">
        <v>64571600</v>
      </c>
      <c r="T892" s="306"/>
      <c r="U892" s="306" t="s">
        <v>1876</v>
      </c>
      <c r="V892" s="320" t="s">
        <v>302</v>
      </c>
      <c r="W892" s="314" t="s">
        <v>63</v>
      </c>
      <c r="X892" s="334" t="s">
        <v>2677</v>
      </c>
      <c r="Y892" s="313">
        <v>43131</v>
      </c>
      <c r="Z892" s="315">
        <v>64571600</v>
      </c>
      <c r="AA892" s="316" t="s">
        <v>2442</v>
      </c>
      <c r="AB892" s="317">
        <v>609</v>
      </c>
      <c r="AC892" s="313">
        <v>43132</v>
      </c>
      <c r="AD892" s="312">
        <v>64571600</v>
      </c>
      <c r="AE892" s="318">
        <f t="shared" si="104"/>
        <v>0</v>
      </c>
      <c r="AF892" s="317"/>
      <c r="AG892" s="313"/>
      <c r="AH892" s="312"/>
      <c r="AI892" s="306"/>
      <c r="AJ892" s="306"/>
      <c r="AK892" s="318">
        <f t="shared" si="102"/>
        <v>64571600</v>
      </c>
      <c r="AL892" s="312">
        <v>0</v>
      </c>
      <c r="AM892" s="312">
        <f t="shared" si="100"/>
        <v>0</v>
      </c>
      <c r="AN892" s="306" t="s">
        <v>1863</v>
      </c>
      <c r="AO892" s="312">
        <f t="shared" si="101"/>
        <v>64571600</v>
      </c>
      <c r="AP892" s="306"/>
      <c r="AQ892" s="306"/>
      <c r="AR892" s="306"/>
      <c r="AS892" s="306"/>
      <c r="AT892" s="306"/>
    </row>
    <row r="893" spans="1:46" ht="63.75" x14ac:dyDescent="0.25">
      <c r="A893" s="306">
        <v>298</v>
      </c>
      <c r="B893" s="306" t="str">
        <f t="shared" si="98"/>
        <v>3075-298</v>
      </c>
      <c r="C893" s="307" t="s">
        <v>1852</v>
      </c>
      <c r="D893" s="308" t="s">
        <v>1853</v>
      </c>
      <c r="E893" s="308" t="s">
        <v>1879</v>
      </c>
      <c r="F893" s="307" t="s">
        <v>1880</v>
      </c>
      <c r="G893" s="309" t="s">
        <v>1881</v>
      </c>
      <c r="H893" s="310" t="s">
        <v>1882</v>
      </c>
      <c r="I893" s="308" t="s">
        <v>1858</v>
      </c>
      <c r="J893" s="308" t="s">
        <v>1883</v>
      </c>
      <c r="K893" s="308" t="s">
        <v>63</v>
      </c>
      <c r="L893" s="306" t="s">
        <v>1860</v>
      </c>
      <c r="M893" s="306" t="s">
        <v>59</v>
      </c>
      <c r="N893" s="306" t="s">
        <v>60</v>
      </c>
      <c r="O893" s="308" t="s">
        <v>1874</v>
      </c>
      <c r="P893" s="308" t="s">
        <v>2678</v>
      </c>
      <c r="Q893" s="311">
        <v>30749982</v>
      </c>
      <c r="R893" s="306">
        <v>1</v>
      </c>
      <c r="S893" s="312">
        <v>30749982</v>
      </c>
      <c r="T893" s="306" t="s">
        <v>1876</v>
      </c>
      <c r="U893" s="306" t="s">
        <v>1876</v>
      </c>
      <c r="V893" s="313" t="s">
        <v>294</v>
      </c>
      <c r="W893" s="314" t="s">
        <v>63</v>
      </c>
      <c r="X893" s="334" t="s">
        <v>2679</v>
      </c>
      <c r="Y893" s="313">
        <v>43131</v>
      </c>
      <c r="Z893" s="315">
        <v>30749982</v>
      </c>
      <c r="AA893" s="316" t="s">
        <v>2680</v>
      </c>
      <c r="AB893" s="317">
        <v>614</v>
      </c>
      <c r="AC893" s="313">
        <v>43132</v>
      </c>
      <c r="AD893" s="312">
        <v>30749982</v>
      </c>
      <c r="AE893" s="318">
        <f t="shared" si="104"/>
        <v>0</v>
      </c>
      <c r="AF893" s="317">
        <v>1621</v>
      </c>
      <c r="AG893" s="313">
        <v>43182</v>
      </c>
      <c r="AH893" s="312">
        <v>30749982</v>
      </c>
      <c r="AI893" s="306"/>
      <c r="AJ893" s="306"/>
      <c r="AK893" s="318">
        <f t="shared" si="102"/>
        <v>0</v>
      </c>
      <c r="AL893" s="312">
        <f t="shared" ref="AL893:AL905" si="105">VLOOKUP(AB893,RP,13,FALSE)</f>
        <v>0</v>
      </c>
      <c r="AM893" s="312">
        <f t="shared" si="100"/>
        <v>30749982</v>
      </c>
      <c r="AN893" s="306" t="s">
        <v>1863</v>
      </c>
      <c r="AO893" s="312">
        <f t="shared" si="101"/>
        <v>0</v>
      </c>
      <c r="AP893" s="306"/>
      <c r="AQ893" s="306"/>
      <c r="AR893" s="306"/>
      <c r="AS893" s="306"/>
      <c r="AT893" s="306"/>
    </row>
    <row r="894" spans="1:46" ht="76.5" x14ac:dyDescent="0.25">
      <c r="A894" s="306">
        <v>299</v>
      </c>
      <c r="B894" s="306" t="str">
        <f t="shared" si="98"/>
        <v>3075-299</v>
      </c>
      <c r="C894" s="307" t="s">
        <v>1852</v>
      </c>
      <c r="D894" s="308" t="s">
        <v>1853</v>
      </c>
      <c r="E894" s="308" t="s">
        <v>2119</v>
      </c>
      <c r="F894" s="307" t="s">
        <v>1880</v>
      </c>
      <c r="G894" s="327" t="s">
        <v>1881</v>
      </c>
      <c r="H894" s="310" t="s">
        <v>2120</v>
      </c>
      <c r="I894" s="308" t="s">
        <v>1858</v>
      </c>
      <c r="J894" s="308" t="s">
        <v>1859</v>
      </c>
      <c r="K894" s="308" t="s">
        <v>63</v>
      </c>
      <c r="L894" s="306" t="s">
        <v>1860</v>
      </c>
      <c r="M894" s="306" t="s">
        <v>59</v>
      </c>
      <c r="N894" s="306" t="s">
        <v>60</v>
      </c>
      <c r="O894" s="308" t="s">
        <v>1910</v>
      </c>
      <c r="P894" s="306" t="s">
        <v>2681</v>
      </c>
      <c r="Q894" s="315">
        <v>54686940</v>
      </c>
      <c r="R894" s="333">
        <v>1</v>
      </c>
      <c r="S894" s="312">
        <v>54686940</v>
      </c>
      <c r="T894" s="306" t="s">
        <v>1876</v>
      </c>
      <c r="U894" s="306" t="s">
        <v>1876</v>
      </c>
      <c r="V894" s="313" t="s">
        <v>294</v>
      </c>
      <c r="W894" s="314" t="s">
        <v>63</v>
      </c>
      <c r="X894" s="334" t="s">
        <v>2682</v>
      </c>
      <c r="Y894" s="313">
        <v>43133</v>
      </c>
      <c r="Z894" s="315">
        <v>54686940</v>
      </c>
      <c r="AA894" s="316" t="s">
        <v>2402</v>
      </c>
      <c r="AB894" s="317">
        <v>635</v>
      </c>
      <c r="AC894" s="313">
        <v>43139</v>
      </c>
      <c r="AD894" s="312">
        <v>54686940</v>
      </c>
      <c r="AE894" s="318">
        <f t="shared" si="104"/>
        <v>0</v>
      </c>
      <c r="AF894" s="317">
        <v>1480</v>
      </c>
      <c r="AG894" s="313">
        <v>43160</v>
      </c>
      <c r="AH894" s="312">
        <v>54686940</v>
      </c>
      <c r="AI894" s="306" t="s">
        <v>2683</v>
      </c>
      <c r="AJ894" s="306">
        <v>1414</v>
      </c>
      <c r="AK894" s="318">
        <f t="shared" si="102"/>
        <v>0</v>
      </c>
      <c r="AL894" s="312">
        <f t="shared" si="105"/>
        <v>54686940</v>
      </c>
      <c r="AM894" s="312">
        <f t="shared" si="100"/>
        <v>0</v>
      </c>
      <c r="AN894" s="306" t="s">
        <v>1863</v>
      </c>
      <c r="AO894" s="312">
        <f t="shared" si="101"/>
        <v>0</v>
      </c>
      <c r="AP894" s="306"/>
      <c r="AQ894" s="306"/>
      <c r="AR894" s="306"/>
      <c r="AS894" s="306"/>
      <c r="AT894" s="306"/>
    </row>
    <row r="895" spans="1:46" ht="76.5" x14ac:dyDescent="0.25">
      <c r="A895" s="306">
        <v>300</v>
      </c>
      <c r="B895" s="306" t="str">
        <f t="shared" si="98"/>
        <v>3075-300</v>
      </c>
      <c r="C895" s="307" t="s">
        <v>1852</v>
      </c>
      <c r="D895" s="308" t="s">
        <v>1853</v>
      </c>
      <c r="E895" s="308" t="s">
        <v>2119</v>
      </c>
      <c r="F895" s="307" t="s">
        <v>1880</v>
      </c>
      <c r="G895" s="327" t="s">
        <v>1881</v>
      </c>
      <c r="H895" s="310" t="s">
        <v>2120</v>
      </c>
      <c r="I895" s="308" t="s">
        <v>1858</v>
      </c>
      <c r="J895" s="308" t="s">
        <v>1859</v>
      </c>
      <c r="K895" s="308" t="s">
        <v>63</v>
      </c>
      <c r="L895" s="306" t="s">
        <v>1860</v>
      </c>
      <c r="M895" s="306" t="s">
        <v>59</v>
      </c>
      <c r="N895" s="306" t="s">
        <v>60</v>
      </c>
      <c r="O895" s="308" t="s">
        <v>1910</v>
      </c>
      <c r="P895" s="306" t="s">
        <v>2684</v>
      </c>
      <c r="Q895" s="315">
        <v>54686940</v>
      </c>
      <c r="R895" s="333">
        <v>1</v>
      </c>
      <c r="S895" s="312">
        <v>54686940</v>
      </c>
      <c r="T895" s="306" t="s">
        <v>1876</v>
      </c>
      <c r="U895" s="306" t="s">
        <v>1876</v>
      </c>
      <c r="V895" s="313" t="s">
        <v>294</v>
      </c>
      <c r="W895" s="314" t="s">
        <v>63</v>
      </c>
      <c r="X895" s="334" t="s">
        <v>2685</v>
      </c>
      <c r="Y895" s="313">
        <v>43133</v>
      </c>
      <c r="Z895" s="315">
        <v>54686940</v>
      </c>
      <c r="AA895" s="316" t="s">
        <v>2402</v>
      </c>
      <c r="AB895" s="317">
        <v>633</v>
      </c>
      <c r="AC895" s="313">
        <v>43138</v>
      </c>
      <c r="AD895" s="312">
        <v>54686940</v>
      </c>
      <c r="AE895" s="318">
        <f t="shared" si="104"/>
        <v>0</v>
      </c>
      <c r="AF895" s="317">
        <v>1479</v>
      </c>
      <c r="AG895" s="313">
        <v>43160</v>
      </c>
      <c r="AH895" s="312">
        <v>54686940</v>
      </c>
      <c r="AI895" s="306" t="s">
        <v>2686</v>
      </c>
      <c r="AJ895" s="306">
        <v>1417</v>
      </c>
      <c r="AK895" s="318">
        <f t="shared" si="102"/>
        <v>0</v>
      </c>
      <c r="AL895" s="312">
        <f t="shared" si="105"/>
        <v>54686940</v>
      </c>
      <c r="AM895" s="312">
        <f t="shared" si="100"/>
        <v>0</v>
      </c>
      <c r="AN895" s="306" t="s">
        <v>1863</v>
      </c>
      <c r="AO895" s="312">
        <f t="shared" si="101"/>
        <v>0</v>
      </c>
      <c r="AP895" s="306"/>
      <c r="AQ895" s="306"/>
      <c r="AR895" s="306"/>
      <c r="AS895" s="306"/>
      <c r="AT895" s="306"/>
    </row>
    <row r="896" spans="1:46" ht="76.5" x14ac:dyDescent="0.25">
      <c r="A896" s="306">
        <v>301</v>
      </c>
      <c r="B896" s="306" t="str">
        <f t="shared" si="98"/>
        <v>3075-301</v>
      </c>
      <c r="C896" s="307" t="s">
        <v>1852</v>
      </c>
      <c r="D896" s="308" t="s">
        <v>1853</v>
      </c>
      <c r="E896" s="308" t="s">
        <v>2119</v>
      </c>
      <c r="F896" s="307" t="s">
        <v>1880</v>
      </c>
      <c r="G896" s="327" t="s">
        <v>1881</v>
      </c>
      <c r="H896" s="310" t="s">
        <v>2120</v>
      </c>
      <c r="I896" s="308" t="s">
        <v>1858</v>
      </c>
      <c r="J896" s="308" t="s">
        <v>1859</v>
      </c>
      <c r="K896" s="308" t="s">
        <v>63</v>
      </c>
      <c r="L896" s="306" t="s">
        <v>1860</v>
      </c>
      <c r="M896" s="306" t="s">
        <v>59</v>
      </c>
      <c r="N896" s="306" t="s">
        <v>60</v>
      </c>
      <c r="O896" s="308" t="s">
        <v>1910</v>
      </c>
      <c r="P896" s="306" t="s">
        <v>2687</v>
      </c>
      <c r="Q896" s="315">
        <v>54686940</v>
      </c>
      <c r="R896" s="333">
        <v>1</v>
      </c>
      <c r="S896" s="312">
        <v>54686940</v>
      </c>
      <c r="T896" s="306" t="s">
        <v>1876</v>
      </c>
      <c r="U896" s="306" t="s">
        <v>1876</v>
      </c>
      <c r="V896" s="313" t="s">
        <v>411</v>
      </c>
      <c r="W896" s="314" t="s">
        <v>63</v>
      </c>
      <c r="X896" s="334" t="s">
        <v>2688</v>
      </c>
      <c r="Y896" s="313">
        <v>43133</v>
      </c>
      <c r="Z896" s="315">
        <v>54686940</v>
      </c>
      <c r="AA896" s="316" t="s">
        <v>2402</v>
      </c>
      <c r="AB896" s="317">
        <v>631</v>
      </c>
      <c r="AC896" s="313">
        <v>43137</v>
      </c>
      <c r="AD896" s="312">
        <v>54686940</v>
      </c>
      <c r="AE896" s="318">
        <f t="shared" si="104"/>
        <v>0</v>
      </c>
      <c r="AF896" s="317">
        <v>1377</v>
      </c>
      <c r="AG896" s="313">
        <v>43147</v>
      </c>
      <c r="AH896" s="312">
        <v>54686940</v>
      </c>
      <c r="AI896" s="306" t="s">
        <v>2689</v>
      </c>
      <c r="AJ896" s="306">
        <v>1281</v>
      </c>
      <c r="AK896" s="318">
        <f t="shared" si="102"/>
        <v>0</v>
      </c>
      <c r="AL896" s="312">
        <f t="shared" si="105"/>
        <v>54686940</v>
      </c>
      <c r="AM896" s="312">
        <f t="shared" si="100"/>
        <v>0</v>
      </c>
      <c r="AN896" s="306" t="s">
        <v>1863</v>
      </c>
      <c r="AO896" s="312">
        <f t="shared" si="101"/>
        <v>0</v>
      </c>
      <c r="AP896" s="306"/>
      <c r="AQ896" s="306"/>
      <c r="AR896" s="306"/>
      <c r="AS896" s="306"/>
      <c r="AT896" s="306"/>
    </row>
    <row r="897" spans="1:46" ht="76.5" x14ac:dyDescent="0.25">
      <c r="A897" s="306">
        <v>302</v>
      </c>
      <c r="B897" s="306" t="str">
        <f t="shared" si="98"/>
        <v>3075-302</v>
      </c>
      <c r="C897" s="307" t="s">
        <v>1852</v>
      </c>
      <c r="D897" s="308" t="s">
        <v>1853</v>
      </c>
      <c r="E897" s="308" t="s">
        <v>2119</v>
      </c>
      <c r="F897" s="307" t="s">
        <v>1880</v>
      </c>
      <c r="G897" s="327" t="s">
        <v>1881</v>
      </c>
      <c r="H897" s="310" t="s">
        <v>2120</v>
      </c>
      <c r="I897" s="308" t="s">
        <v>1858</v>
      </c>
      <c r="J897" s="308" t="s">
        <v>1859</v>
      </c>
      <c r="K897" s="308" t="s">
        <v>63</v>
      </c>
      <c r="L897" s="306" t="s">
        <v>1860</v>
      </c>
      <c r="M897" s="306" t="s">
        <v>59</v>
      </c>
      <c r="N897" s="306" t="s">
        <v>60</v>
      </c>
      <c r="O897" s="308" t="s">
        <v>1910</v>
      </c>
      <c r="P897" s="306" t="s">
        <v>2690</v>
      </c>
      <c r="Q897" s="315">
        <v>54686940</v>
      </c>
      <c r="R897" s="333">
        <v>1</v>
      </c>
      <c r="S897" s="312">
        <v>54686940</v>
      </c>
      <c r="T897" s="306" t="s">
        <v>1876</v>
      </c>
      <c r="U897" s="306" t="s">
        <v>1876</v>
      </c>
      <c r="V897" s="313" t="s">
        <v>411</v>
      </c>
      <c r="W897" s="314" t="s">
        <v>63</v>
      </c>
      <c r="X897" s="334" t="s">
        <v>2691</v>
      </c>
      <c r="Y897" s="313">
        <v>43133</v>
      </c>
      <c r="Z897" s="315">
        <v>54686940</v>
      </c>
      <c r="AA897" s="316" t="s">
        <v>2402</v>
      </c>
      <c r="AB897" s="317">
        <v>634</v>
      </c>
      <c r="AC897" s="313">
        <v>43138</v>
      </c>
      <c r="AD897" s="312">
        <v>54686940</v>
      </c>
      <c r="AE897" s="318">
        <f t="shared" si="104"/>
        <v>0</v>
      </c>
      <c r="AF897" s="317">
        <v>1376</v>
      </c>
      <c r="AG897" s="313">
        <v>43147</v>
      </c>
      <c r="AH897" s="312">
        <v>54686940</v>
      </c>
      <c r="AI897" s="306" t="s">
        <v>2692</v>
      </c>
      <c r="AJ897" s="306">
        <v>1282</v>
      </c>
      <c r="AK897" s="318">
        <f t="shared" si="102"/>
        <v>0</v>
      </c>
      <c r="AL897" s="312">
        <f t="shared" si="105"/>
        <v>0</v>
      </c>
      <c r="AM897" s="312">
        <f t="shared" si="100"/>
        <v>54686940</v>
      </c>
      <c r="AN897" s="306" t="s">
        <v>1863</v>
      </c>
      <c r="AO897" s="312">
        <f t="shared" si="101"/>
        <v>0</v>
      </c>
      <c r="AP897" s="306"/>
      <c r="AQ897" s="306"/>
      <c r="AR897" s="306"/>
      <c r="AS897" s="306"/>
      <c r="AT897" s="306"/>
    </row>
    <row r="898" spans="1:46" ht="76.5" x14ac:dyDescent="0.25">
      <c r="A898" s="306">
        <v>303</v>
      </c>
      <c r="B898" s="306" t="str">
        <f t="shared" si="98"/>
        <v>3075-303</v>
      </c>
      <c r="C898" s="307" t="s">
        <v>1852</v>
      </c>
      <c r="D898" s="308" t="s">
        <v>1853</v>
      </c>
      <c r="E898" s="308" t="s">
        <v>2119</v>
      </c>
      <c r="F898" s="307" t="s">
        <v>1880</v>
      </c>
      <c r="G898" s="327" t="s">
        <v>1881</v>
      </c>
      <c r="H898" s="310" t="s">
        <v>2120</v>
      </c>
      <c r="I898" s="308" t="s">
        <v>1858</v>
      </c>
      <c r="J898" s="308" t="s">
        <v>1859</v>
      </c>
      <c r="K898" s="308" t="s">
        <v>63</v>
      </c>
      <c r="L898" s="306" t="s">
        <v>1860</v>
      </c>
      <c r="M898" s="306" t="s">
        <v>59</v>
      </c>
      <c r="N898" s="306" t="s">
        <v>60</v>
      </c>
      <c r="O898" s="308" t="s">
        <v>1910</v>
      </c>
      <c r="P898" s="306" t="s">
        <v>2693</v>
      </c>
      <c r="Q898" s="315">
        <v>54686940</v>
      </c>
      <c r="R898" s="333">
        <v>1</v>
      </c>
      <c r="S898" s="312">
        <v>54686940</v>
      </c>
      <c r="T898" s="306" t="s">
        <v>1876</v>
      </c>
      <c r="U898" s="306" t="s">
        <v>1876</v>
      </c>
      <c r="V898" s="313" t="s">
        <v>294</v>
      </c>
      <c r="W898" s="314" t="s">
        <v>63</v>
      </c>
      <c r="X898" s="334" t="s">
        <v>2694</v>
      </c>
      <c r="Y898" s="313">
        <v>43138</v>
      </c>
      <c r="Z898" s="312">
        <v>54686940</v>
      </c>
      <c r="AA898" s="316" t="s">
        <v>2402</v>
      </c>
      <c r="AB898" s="317">
        <v>641</v>
      </c>
      <c r="AC898" s="313">
        <v>43140</v>
      </c>
      <c r="AD898" s="312">
        <v>54686940</v>
      </c>
      <c r="AE898" s="318">
        <f t="shared" si="104"/>
        <v>0</v>
      </c>
      <c r="AF898" s="317">
        <v>1582</v>
      </c>
      <c r="AG898" s="313">
        <v>43174</v>
      </c>
      <c r="AH898" s="312">
        <v>54686940</v>
      </c>
      <c r="AI898" s="306" t="s">
        <v>2695</v>
      </c>
      <c r="AJ898" s="306">
        <v>1509</v>
      </c>
      <c r="AK898" s="318">
        <f t="shared" si="102"/>
        <v>0</v>
      </c>
      <c r="AL898" s="312">
        <f t="shared" si="105"/>
        <v>0</v>
      </c>
      <c r="AM898" s="312">
        <f t="shared" si="100"/>
        <v>54686940</v>
      </c>
      <c r="AN898" s="306" t="s">
        <v>1863</v>
      </c>
      <c r="AO898" s="312">
        <f t="shared" si="101"/>
        <v>0</v>
      </c>
      <c r="AP898" s="306"/>
      <c r="AQ898" s="306"/>
      <c r="AR898" s="306"/>
      <c r="AS898" s="306"/>
      <c r="AT898" s="306"/>
    </row>
    <row r="899" spans="1:46" ht="76.5" x14ac:dyDescent="0.25">
      <c r="A899" s="306">
        <v>304</v>
      </c>
      <c r="B899" s="306" t="str">
        <f t="shared" si="98"/>
        <v>3075-304</v>
      </c>
      <c r="C899" s="307" t="s">
        <v>1852</v>
      </c>
      <c r="D899" s="308" t="s">
        <v>1853</v>
      </c>
      <c r="E899" s="308" t="s">
        <v>2119</v>
      </c>
      <c r="F899" s="307" t="s">
        <v>1880</v>
      </c>
      <c r="G899" s="327" t="s">
        <v>1881</v>
      </c>
      <c r="H899" s="310" t="s">
        <v>2120</v>
      </c>
      <c r="I899" s="308" t="s">
        <v>1858</v>
      </c>
      <c r="J899" s="308" t="s">
        <v>1859</v>
      </c>
      <c r="K899" s="308" t="s">
        <v>63</v>
      </c>
      <c r="L899" s="306" t="s">
        <v>1860</v>
      </c>
      <c r="M899" s="306" t="s">
        <v>59</v>
      </c>
      <c r="N899" s="306" t="s">
        <v>60</v>
      </c>
      <c r="O899" s="308" t="s">
        <v>1910</v>
      </c>
      <c r="P899" s="306" t="s">
        <v>2696</v>
      </c>
      <c r="Q899" s="315">
        <v>54686940</v>
      </c>
      <c r="R899" s="333">
        <v>1</v>
      </c>
      <c r="S899" s="312">
        <v>54686940</v>
      </c>
      <c r="T899" s="306" t="s">
        <v>1876</v>
      </c>
      <c r="U899" s="306" t="s">
        <v>1876</v>
      </c>
      <c r="V899" s="313" t="s">
        <v>411</v>
      </c>
      <c r="W899" s="314" t="s">
        <v>63</v>
      </c>
      <c r="X899" s="334" t="s">
        <v>2697</v>
      </c>
      <c r="Y899" s="313">
        <v>43138</v>
      </c>
      <c r="Z899" s="312">
        <v>54686940</v>
      </c>
      <c r="AA899" s="316" t="s">
        <v>2402</v>
      </c>
      <c r="AB899" s="317">
        <v>642</v>
      </c>
      <c r="AC899" s="313">
        <v>43140</v>
      </c>
      <c r="AD899" s="312">
        <v>54686940</v>
      </c>
      <c r="AE899" s="318">
        <f t="shared" si="104"/>
        <v>0</v>
      </c>
      <c r="AF899" s="317">
        <v>1381</v>
      </c>
      <c r="AG899" s="313">
        <v>43150</v>
      </c>
      <c r="AH899" s="312">
        <v>54686940</v>
      </c>
      <c r="AI899" s="306" t="s">
        <v>2698</v>
      </c>
      <c r="AJ899" s="306">
        <v>1284</v>
      </c>
      <c r="AK899" s="318">
        <f t="shared" si="102"/>
        <v>0</v>
      </c>
      <c r="AL899" s="312">
        <f t="shared" si="105"/>
        <v>54686940</v>
      </c>
      <c r="AM899" s="312">
        <f t="shared" si="100"/>
        <v>0</v>
      </c>
      <c r="AN899" s="306" t="s">
        <v>1863</v>
      </c>
      <c r="AO899" s="312">
        <f t="shared" si="101"/>
        <v>0</v>
      </c>
      <c r="AP899" s="306"/>
      <c r="AQ899" s="306"/>
      <c r="AR899" s="306"/>
      <c r="AS899" s="306"/>
      <c r="AT899" s="306"/>
    </row>
    <row r="900" spans="1:46" ht="76.5" x14ac:dyDescent="0.25">
      <c r="A900" s="306">
        <v>305</v>
      </c>
      <c r="B900" s="306" t="str">
        <f t="shared" si="98"/>
        <v>3075-305</v>
      </c>
      <c r="C900" s="307" t="s">
        <v>1852</v>
      </c>
      <c r="D900" s="308" t="s">
        <v>1853</v>
      </c>
      <c r="E900" s="308" t="s">
        <v>2119</v>
      </c>
      <c r="F900" s="307" t="s">
        <v>1880</v>
      </c>
      <c r="G900" s="327" t="s">
        <v>1881</v>
      </c>
      <c r="H900" s="310" t="s">
        <v>2120</v>
      </c>
      <c r="I900" s="308" t="s">
        <v>1858</v>
      </c>
      <c r="J900" s="308" t="s">
        <v>1859</v>
      </c>
      <c r="K900" s="308" t="s">
        <v>63</v>
      </c>
      <c r="L900" s="306" t="s">
        <v>1860</v>
      </c>
      <c r="M900" s="306" t="s">
        <v>59</v>
      </c>
      <c r="N900" s="306" t="s">
        <v>60</v>
      </c>
      <c r="O900" s="308" t="s">
        <v>1910</v>
      </c>
      <c r="P900" s="306" t="s">
        <v>2699</v>
      </c>
      <c r="Q900" s="315">
        <v>54686940</v>
      </c>
      <c r="R900" s="333">
        <v>1</v>
      </c>
      <c r="S900" s="312">
        <v>54686940</v>
      </c>
      <c r="T900" s="306" t="s">
        <v>1876</v>
      </c>
      <c r="U900" s="306" t="s">
        <v>1876</v>
      </c>
      <c r="V900" s="313" t="s">
        <v>411</v>
      </c>
      <c r="W900" s="314" t="s">
        <v>63</v>
      </c>
      <c r="X900" s="334" t="s">
        <v>2700</v>
      </c>
      <c r="Y900" s="313">
        <v>43138</v>
      </c>
      <c r="Z900" s="312">
        <v>54686940</v>
      </c>
      <c r="AA900" s="316" t="s">
        <v>2402</v>
      </c>
      <c r="AB900" s="317">
        <v>637</v>
      </c>
      <c r="AC900" s="313">
        <v>43139</v>
      </c>
      <c r="AD900" s="312">
        <v>54686940</v>
      </c>
      <c r="AE900" s="318">
        <f t="shared" si="104"/>
        <v>0</v>
      </c>
      <c r="AF900" s="317">
        <v>1375</v>
      </c>
      <c r="AG900" s="313">
        <v>43147</v>
      </c>
      <c r="AH900" s="312">
        <v>54686940</v>
      </c>
      <c r="AI900" s="306" t="s">
        <v>2701</v>
      </c>
      <c r="AJ900" s="306">
        <v>1283</v>
      </c>
      <c r="AK900" s="318">
        <f t="shared" si="102"/>
        <v>0</v>
      </c>
      <c r="AL900" s="312">
        <f t="shared" si="105"/>
        <v>54686940</v>
      </c>
      <c r="AM900" s="312">
        <f t="shared" si="100"/>
        <v>0</v>
      </c>
      <c r="AN900" s="306" t="s">
        <v>1863</v>
      </c>
      <c r="AO900" s="312">
        <f t="shared" si="101"/>
        <v>0</v>
      </c>
      <c r="AP900" s="306"/>
      <c r="AQ900" s="306"/>
      <c r="AR900" s="306"/>
      <c r="AS900" s="306"/>
      <c r="AT900" s="306"/>
    </row>
    <row r="901" spans="1:46" ht="76.5" x14ac:dyDescent="0.25">
      <c r="A901" s="306">
        <v>306</v>
      </c>
      <c r="B901" s="306" t="str">
        <f t="shared" si="98"/>
        <v>3075-306</v>
      </c>
      <c r="C901" s="307" t="s">
        <v>1852</v>
      </c>
      <c r="D901" s="308" t="s">
        <v>1853</v>
      </c>
      <c r="E901" s="308" t="s">
        <v>2119</v>
      </c>
      <c r="F901" s="307" t="s">
        <v>1880</v>
      </c>
      <c r="G901" s="327" t="s">
        <v>1881</v>
      </c>
      <c r="H901" s="310" t="s">
        <v>2120</v>
      </c>
      <c r="I901" s="308" t="s">
        <v>1858</v>
      </c>
      <c r="J901" s="308" t="s">
        <v>1859</v>
      </c>
      <c r="K901" s="308" t="s">
        <v>63</v>
      </c>
      <c r="L901" s="306" t="s">
        <v>1860</v>
      </c>
      <c r="M901" s="306" t="s">
        <v>59</v>
      </c>
      <c r="N901" s="306" t="s">
        <v>60</v>
      </c>
      <c r="O901" s="308" t="s">
        <v>1910</v>
      </c>
      <c r="P901" s="306" t="s">
        <v>2702</v>
      </c>
      <c r="Q901" s="315">
        <v>54686940</v>
      </c>
      <c r="R901" s="333">
        <v>1</v>
      </c>
      <c r="S901" s="312">
        <v>54686940</v>
      </c>
      <c r="T901" s="306" t="s">
        <v>1876</v>
      </c>
      <c r="U901" s="306" t="s">
        <v>1876</v>
      </c>
      <c r="V901" s="313" t="s">
        <v>294</v>
      </c>
      <c r="W901" s="314" t="s">
        <v>63</v>
      </c>
      <c r="X901" s="334" t="s">
        <v>2703</v>
      </c>
      <c r="Y901" s="313">
        <v>43138</v>
      </c>
      <c r="Z901" s="312">
        <v>54686940</v>
      </c>
      <c r="AA901" s="316" t="s">
        <v>2402</v>
      </c>
      <c r="AB901" s="317">
        <v>636</v>
      </c>
      <c r="AC901" s="313">
        <v>43139</v>
      </c>
      <c r="AD901" s="312">
        <v>54686940</v>
      </c>
      <c r="AE901" s="318">
        <f t="shared" si="104"/>
        <v>0</v>
      </c>
      <c r="AF901" s="317">
        <v>1481</v>
      </c>
      <c r="AG901" s="313">
        <v>43160</v>
      </c>
      <c r="AH901" s="312">
        <v>54686940</v>
      </c>
      <c r="AI901" s="306" t="s">
        <v>2704</v>
      </c>
      <c r="AJ901" s="306">
        <v>1418</v>
      </c>
      <c r="AK901" s="318">
        <f t="shared" si="102"/>
        <v>0</v>
      </c>
      <c r="AL901" s="312">
        <f t="shared" si="105"/>
        <v>54686940</v>
      </c>
      <c r="AM901" s="312">
        <f t="shared" si="100"/>
        <v>0</v>
      </c>
      <c r="AN901" s="306" t="s">
        <v>1863</v>
      </c>
      <c r="AO901" s="312">
        <f t="shared" si="101"/>
        <v>0</v>
      </c>
      <c r="AP901" s="306"/>
      <c r="AQ901" s="306"/>
      <c r="AR901" s="306"/>
      <c r="AS901" s="306"/>
      <c r="AT901" s="306"/>
    </row>
    <row r="902" spans="1:46" ht="76.5" x14ac:dyDescent="0.25">
      <c r="A902" s="306">
        <v>307</v>
      </c>
      <c r="B902" s="306" t="str">
        <f t="shared" si="98"/>
        <v>3075-307</v>
      </c>
      <c r="C902" s="307" t="s">
        <v>1852</v>
      </c>
      <c r="D902" s="308" t="s">
        <v>1853</v>
      </c>
      <c r="E902" s="308" t="s">
        <v>2119</v>
      </c>
      <c r="F902" s="307" t="s">
        <v>1880</v>
      </c>
      <c r="G902" s="327" t="s">
        <v>1881</v>
      </c>
      <c r="H902" s="310" t="s">
        <v>2120</v>
      </c>
      <c r="I902" s="308" t="s">
        <v>1858</v>
      </c>
      <c r="J902" s="308" t="s">
        <v>1859</v>
      </c>
      <c r="K902" s="308" t="s">
        <v>63</v>
      </c>
      <c r="L902" s="306" t="s">
        <v>1860</v>
      </c>
      <c r="M902" s="306" t="s">
        <v>59</v>
      </c>
      <c r="N902" s="306" t="s">
        <v>60</v>
      </c>
      <c r="O902" s="308" t="s">
        <v>1910</v>
      </c>
      <c r="P902" s="306" t="s">
        <v>2705</v>
      </c>
      <c r="Q902" s="315">
        <v>54686940</v>
      </c>
      <c r="R902" s="333">
        <v>1</v>
      </c>
      <c r="S902" s="312">
        <v>54686940</v>
      </c>
      <c r="T902" s="306" t="s">
        <v>1876</v>
      </c>
      <c r="U902" s="306" t="s">
        <v>1876</v>
      </c>
      <c r="V902" s="313" t="s">
        <v>294</v>
      </c>
      <c r="W902" s="314" t="s">
        <v>63</v>
      </c>
      <c r="X902" s="334" t="s">
        <v>2706</v>
      </c>
      <c r="Y902" s="313">
        <v>43138</v>
      </c>
      <c r="Z902" s="312">
        <v>54686940</v>
      </c>
      <c r="AA902" s="316" t="s">
        <v>2402</v>
      </c>
      <c r="AB902" s="317">
        <v>638</v>
      </c>
      <c r="AC902" s="313">
        <v>43139</v>
      </c>
      <c r="AD902" s="312">
        <v>54686940</v>
      </c>
      <c r="AE902" s="318">
        <f t="shared" si="104"/>
        <v>0</v>
      </c>
      <c r="AF902" s="317">
        <v>1583</v>
      </c>
      <c r="AG902" s="313">
        <v>43174</v>
      </c>
      <c r="AH902" s="312">
        <v>54686940</v>
      </c>
      <c r="AI902" s="306" t="s">
        <v>2707</v>
      </c>
      <c r="AJ902" s="306">
        <v>1510</v>
      </c>
      <c r="AK902" s="318">
        <f t="shared" si="102"/>
        <v>0</v>
      </c>
      <c r="AL902" s="312">
        <f t="shared" si="105"/>
        <v>54686940</v>
      </c>
      <c r="AM902" s="312">
        <f t="shared" si="100"/>
        <v>0</v>
      </c>
      <c r="AN902" s="306" t="s">
        <v>1863</v>
      </c>
      <c r="AO902" s="312">
        <f t="shared" si="101"/>
        <v>0</v>
      </c>
      <c r="AP902" s="306"/>
      <c r="AQ902" s="306"/>
      <c r="AR902" s="306"/>
      <c r="AS902" s="306"/>
      <c r="AT902" s="306"/>
    </row>
    <row r="903" spans="1:46" ht="89.25" x14ac:dyDescent="0.25">
      <c r="A903" s="306">
        <v>308</v>
      </c>
      <c r="B903" s="306" t="str">
        <f t="shared" si="98"/>
        <v>3075-308</v>
      </c>
      <c r="C903" s="307" t="s">
        <v>1852</v>
      </c>
      <c r="D903" s="308" t="s">
        <v>1853</v>
      </c>
      <c r="E903" s="308" t="s">
        <v>1854</v>
      </c>
      <c r="F903" s="307" t="s">
        <v>1871</v>
      </c>
      <c r="G903" s="319" t="s">
        <v>2708</v>
      </c>
      <c r="H903" s="325" t="s">
        <v>2709</v>
      </c>
      <c r="I903" s="308" t="s">
        <v>1858</v>
      </c>
      <c r="J903" s="308" t="s">
        <v>1859</v>
      </c>
      <c r="K903" s="326" t="s">
        <v>63</v>
      </c>
      <c r="L903" s="306" t="s">
        <v>1860</v>
      </c>
      <c r="M903" s="306" t="s">
        <v>59</v>
      </c>
      <c r="N903" s="306" t="s">
        <v>60</v>
      </c>
      <c r="O903" s="308" t="s">
        <v>1899</v>
      </c>
      <c r="P903" s="308" t="s">
        <v>2710</v>
      </c>
      <c r="Q903" s="315">
        <v>614764</v>
      </c>
      <c r="R903" s="306">
        <v>1</v>
      </c>
      <c r="S903" s="312">
        <v>614764</v>
      </c>
      <c r="T903" s="306"/>
      <c r="U903" s="306" t="s">
        <v>1876</v>
      </c>
      <c r="V903" s="313" t="s">
        <v>302</v>
      </c>
      <c r="W903" s="314">
        <v>1</v>
      </c>
      <c r="X903" s="334" t="s">
        <v>2711</v>
      </c>
      <c r="Y903" s="313">
        <v>43138</v>
      </c>
      <c r="Z903" s="312">
        <v>614764</v>
      </c>
      <c r="AA903" s="316" t="s">
        <v>2712</v>
      </c>
      <c r="AB903" s="317">
        <v>643</v>
      </c>
      <c r="AC903" s="313">
        <v>43140</v>
      </c>
      <c r="AD903" s="312">
        <v>614764</v>
      </c>
      <c r="AE903" s="318">
        <f t="shared" si="104"/>
        <v>0</v>
      </c>
      <c r="AF903" s="317">
        <v>1779</v>
      </c>
      <c r="AG903" s="313">
        <v>43202</v>
      </c>
      <c r="AH903" s="312">
        <v>614764</v>
      </c>
      <c r="AI903" s="306" t="s">
        <v>2713</v>
      </c>
      <c r="AJ903" s="306">
        <v>1286</v>
      </c>
      <c r="AK903" s="318">
        <f t="shared" si="102"/>
        <v>0</v>
      </c>
      <c r="AL903" s="312">
        <f t="shared" si="105"/>
        <v>0</v>
      </c>
      <c r="AM903" s="312">
        <f t="shared" si="100"/>
        <v>614764</v>
      </c>
      <c r="AN903" s="306" t="s">
        <v>1863</v>
      </c>
      <c r="AO903" s="312">
        <f t="shared" si="101"/>
        <v>0</v>
      </c>
      <c r="AP903" s="306"/>
      <c r="AQ903" s="306"/>
      <c r="AR903" s="306"/>
      <c r="AS903" s="306"/>
      <c r="AT903" s="306"/>
    </row>
    <row r="904" spans="1:46" ht="76.5" x14ac:dyDescent="0.25">
      <c r="A904" s="306">
        <v>309</v>
      </c>
      <c r="B904" s="306" t="str">
        <f t="shared" si="98"/>
        <v>3075-309</v>
      </c>
      <c r="C904" s="307" t="s">
        <v>1852</v>
      </c>
      <c r="D904" s="308" t="s">
        <v>1853</v>
      </c>
      <c r="E904" s="308" t="s">
        <v>2119</v>
      </c>
      <c r="F904" s="307" t="s">
        <v>1880</v>
      </c>
      <c r="G904" s="327" t="s">
        <v>1881</v>
      </c>
      <c r="H904" s="310" t="s">
        <v>2120</v>
      </c>
      <c r="I904" s="308" t="s">
        <v>1858</v>
      </c>
      <c r="J904" s="308" t="s">
        <v>1859</v>
      </c>
      <c r="K904" s="308" t="s">
        <v>63</v>
      </c>
      <c r="L904" s="306" t="s">
        <v>1860</v>
      </c>
      <c r="M904" s="306" t="s">
        <v>59</v>
      </c>
      <c r="N904" s="306" t="s">
        <v>60</v>
      </c>
      <c r="O904" s="308" t="s">
        <v>1910</v>
      </c>
      <c r="P904" s="306" t="s">
        <v>2714</v>
      </c>
      <c r="Q904" s="315">
        <v>54886940</v>
      </c>
      <c r="R904" s="333">
        <v>1</v>
      </c>
      <c r="S904" s="312">
        <v>54686940</v>
      </c>
      <c r="T904" s="306" t="s">
        <v>1876</v>
      </c>
      <c r="U904" s="306" t="s">
        <v>1876</v>
      </c>
      <c r="V904" s="313" t="s">
        <v>411</v>
      </c>
      <c r="W904" s="314" t="s">
        <v>63</v>
      </c>
      <c r="X904" s="334" t="s">
        <v>2715</v>
      </c>
      <c r="Y904" s="313">
        <v>43140</v>
      </c>
      <c r="Z904" s="315">
        <v>54686940</v>
      </c>
      <c r="AA904" s="316" t="s">
        <v>2402</v>
      </c>
      <c r="AB904" s="317">
        <v>646</v>
      </c>
      <c r="AC904" s="313">
        <v>43144</v>
      </c>
      <c r="AD904" s="312">
        <v>54686940</v>
      </c>
      <c r="AE904" s="318">
        <f t="shared" si="104"/>
        <v>0</v>
      </c>
      <c r="AF904" s="317">
        <v>1461</v>
      </c>
      <c r="AG904" s="313">
        <v>43154</v>
      </c>
      <c r="AH904" s="312">
        <v>54686940</v>
      </c>
      <c r="AI904" s="306" t="s">
        <v>2664</v>
      </c>
      <c r="AJ904" s="306">
        <v>1356</v>
      </c>
      <c r="AK904" s="318">
        <f t="shared" si="102"/>
        <v>0</v>
      </c>
      <c r="AL904" s="312">
        <f t="shared" si="105"/>
        <v>54686940</v>
      </c>
      <c r="AM904" s="312">
        <f t="shared" si="100"/>
        <v>0</v>
      </c>
      <c r="AN904" s="306" t="s">
        <v>1863</v>
      </c>
      <c r="AO904" s="312">
        <f t="shared" si="101"/>
        <v>0</v>
      </c>
      <c r="AP904" s="306"/>
      <c r="AQ904" s="306"/>
      <c r="AR904" s="306"/>
      <c r="AS904" s="306"/>
      <c r="AT904" s="306"/>
    </row>
    <row r="905" spans="1:46" ht="76.5" x14ac:dyDescent="0.25">
      <c r="A905" s="306">
        <v>310</v>
      </c>
      <c r="B905" s="306" t="str">
        <f t="shared" si="98"/>
        <v>3075-310</v>
      </c>
      <c r="C905" s="307" t="s">
        <v>1852</v>
      </c>
      <c r="D905" s="308" t="s">
        <v>1853</v>
      </c>
      <c r="E905" s="308" t="s">
        <v>2119</v>
      </c>
      <c r="F905" s="307" t="s">
        <v>1880</v>
      </c>
      <c r="G905" s="327" t="s">
        <v>1881</v>
      </c>
      <c r="H905" s="310" t="s">
        <v>2120</v>
      </c>
      <c r="I905" s="308" t="s">
        <v>1858</v>
      </c>
      <c r="J905" s="308" t="s">
        <v>1859</v>
      </c>
      <c r="K905" s="308" t="s">
        <v>63</v>
      </c>
      <c r="L905" s="306" t="s">
        <v>1860</v>
      </c>
      <c r="M905" s="306" t="s">
        <v>59</v>
      </c>
      <c r="N905" s="306" t="s">
        <v>60</v>
      </c>
      <c r="O905" s="308" t="s">
        <v>1910</v>
      </c>
      <c r="P905" s="306" t="s">
        <v>2716</v>
      </c>
      <c r="Q905" s="315">
        <v>54886940</v>
      </c>
      <c r="R905" s="333">
        <v>1</v>
      </c>
      <c r="S905" s="312">
        <v>54686940</v>
      </c>
      <c r="T905" s="306" t="s">
        <v>1876</v>
      </c>
      <c r="U905" s="306" t="s">
        <v>1876</v>
      </c>
      <c r="V905" s="313" t="s">
        <v>294</v>
      </c>
      <c r="W905" s="314" t="s">
        <v>63</v>
      </c>
      <c r="X905" s="334" t="s">
        <v>2717</v>
      </c>
      <c r="Y905" s="313">
        <v>43140</v>
      </c>
      <c r="Z905" s="315">
        <v>54686940</v>
      </c>
      <c r="AA905" s="316" t="s">
        <v>2402</v>
      </c>
      <c r="AB905" s="317">
        <v>647</v>
      </c>
      <c r="AC905" s="313">
        <v>43144</v>
      </c>
      <c r="AD905" s="312">
        <v>54686940</v>
      </c>
      <c r="AE905" s="318">
        <f t="shared" si="104"/>
        <v>0</v>
      </c>
      <c r="AF905" s="317">
        <v>1478</v>
      </c>
      <c r="AG905" s="313">
        <v>43160</v>
      </c>
      <c r="AH905" s="312">
        <v>54686940</v>
      </c>
      <c r="AI905" s="306" t="s">
        <v>2718</v>
      </c>
      <c r="AJ905" s="306">
        <v>1413</v>
      </c>
      <c r="AK905" s="318">
        <f t="shared" si="102"/>
        <v>0</v>
      </c>
      <c r="AL905" s="312">
        <f t="shared" si="105"/>
        <v>54686940</v>
      </c>
      <c r="AM905" s="312">
        <f t="shared" si="100"/>
        <v>0</v>
      </c>
      <c r="AN905" s="306" t="s">
        <v>1863</v>
      </c>
      <c r="AO905" s="312">
        <f t="shared" si="101"/>
        <v>0</v>
      </c>
      <c r="AP905" s="306"/>
      <c r="AQ905" s="306"/>
      <c r="AR905" s="306"/>
      <c r="AS905" s="306"/>
      <c r="AT905" s="306"/>
    </row>
    <row r="906" spans="1:46" ht="76.5" x14ac:dyDescent="0.25">
      <c r="A906" s="306">
        <v>311</v>
      </c>
      <c r="B906" s="306" t="str">
        <f t="shared" si="98"/>
        <v>3075-311</v>
      </c>
      <c r="C906" s="307" t="s">
        <v>1852</v>
      </c>
      <c r="D906" s="308" t="s">
        <v>1853</v>
      </c>
      <c r="E906" s="308" t="s">
        <v>2119</v>
      </c>
      <c r="F906" s="307" t="s">
        <v>1880</v>
      </c>
      <c r="G906" s="327" t="s">
        <v>1881</v>
      </c>
      <c r="H906" s="310" t="s">
        <v>2120</v>
      </c>
      <c r="I906" s="308" t="s">
        <v>1858</v>
      </c>
      <c r="J906" s="308" t="s">
        <v>1859</v>
      </c>
      <c r="K906" s="308" t="s">
        <v>63</v>
      </c>
      <c r="L906" s="306" t="s">
        <v>1860</v>
      </c>
      <c r="M906" s="306" t="s">
        <v>59</v>
      </c>
      <c r="N906" s="306" t="s">
        <v>60</v>
      </c>
      <c r="O906" s="308" t="s">
        <v>1910</v>
      </c>
      <c r="P906" s="306" t="s">
        <v>2719</v>
      </c>
      <c r="Q906" s="315">
        <v>54886940</v>
      </c>
      <c r="R906" s="333">
        <v>1</v>
      </c>
      <c r="S906" s="312">
        <v>54686940</v>
      </c>
      <c r="T906" s="306"/>
      <c r="U906" s="306" t="s">
        <v>1876</v>
      </c>
      <c r="V906" s="320" t="s">
        <v>302</v>
      </c>
      <c r="W906" s="314" t="s">
        <v>63</v>
      </c>
      <c r="X906" s="334" t="s">
        <v>2720</v>
      </c>
      <c r="Y906" s="313">
        <v>43140</v>
      </c>
      <c r="Z906" s="315">
        <v>54686940</v>
      </c>
      <c r="AA906" s="316" t="s">
        <v>2402</v>
      </c>
      <c r="AB906" s="317">
        <v>645</v>
      </c>
      <c r="AC906" s="313">
        <v>43144</v>
      </c>
      <c r="AD906" s="312">
        <v>54686940</v>
      </c>
      <c r="AE906" s="318">
        <f t="shared" si="104"/>
        <v>0</v>
      </c>
      <c r="AF906" s="317"/>
      <c r="AG906" s="313"/>
      <c r="AH906" s="312"/>
      <c r="AI906" s="306"/>
      <c r="AJ906" s="306"/>
      <c r="AK906" s="318">
        <f t="shared" si="102"/>
        <v>54686940</v>
      </c>
      <c r="AL906" s="312">
        <v>0</v>
      </c>
      <c r="AM906" s="312">
        <f t="shared" si="100"/>
        <v>0</v>
      </c>
      <c r="AN906" s="306" t="s">
        <v>1863</v>
      </c>
      <c r="AO906" s="312">
        <f t="shared" si="101"/>
        <v>54686940</v>
      </c>
      <c r="AP906" s="306"/>
      <c r="AQ906" s="306"/>
      <c r="AR906" s="306"/>
      <c r="AS906" s="306"/>
      <c r="AT906" s="306"/>
    </row>
    <row r="907" spans="1:46" ht="63.75" x14ac:dyDescent="0.25">
      <c r="A907" s="306">
        <v>312</v>
      </c>
      <c r="B907" s="306" t="str">
        <f t="shared" si="98"/>
        <v>3075-312</v>
      </c>
      <c r="C907" s="307" t="s">
        <v>1852</v>
      </c>
      <c r="D907" s="308" t="s">
        <v>1853</v>
      </c>
      <c r="E907" s="308" t="s">
        <v>1879</v>
      </c>
      <c r="F907" s="307" t="s">
        <v>1880</v>
      </c>
      <c r="G907" s="309" t="s">
        <v>1881</v>
      </c>
      <c r="H907" s="310" t="s">
        <v>1882</v>
      </c>
      <c r="I907" s="308" t="s">
        <v>1858</v>
      </c>
      <c r="J907" s="308" t="s">
        <v>1883</v>
      </c>
      <c r="K907" s="308" t="s">
        <v>63</v>
      </c>
      <c r="L907" s="306" t="s">
        <v>1860</v>
      </c>
      <c r="M907" s="306" t="s">
        <v>59</v>
      </c>
      <c r="N907" s="306" t="s">
        <v>60</v>
      </c>
      <c r="O907" s="308" t="s">
        <v>1874</v>
      </c>
      <c r="P907" s="308" t="s">
        <v>2721</v>
      </c>
      <c r="Q907" s="311">
        <v>39062100</v>
      </c>
      <c r="R907" s="306">
        <v>1</v>
      </c>
      <c r="S907" s="312">
        <v>39062100</v>
      </c>
      <c r="T907" s="306" t="s">
        <v>1876</v>
      </c>
      <c r="U907" s="306" t="s">
        <v>1876</v>
      </c>
      <c r="V907" s="313" t="s">
        <v>294</v>
      </c>
      <c r="W907" s="314" t="s">
        <v>63</v>
      </c>
      <c r="X907" s="334" t="s">
        <v>2722</v>
      </c>
      <c r="Y907" s="313">
        <v>43140</v>
      </c>
      <c r="Z907" s="315">
        <v>39062100</v>
      </c>
      <c r="AA907" s="316" t="s">
        <v>2680</v>
      </c>
      <c r="AB907" s="317">
        <v>644</v>
      </c>
      <c r="AC907" s="313">
        <v>43144</v>
      </c>
      <c r="AD907" s="312">
        <v>39062100</v>
      </c>
      <c r="AE907" s="318">
        <f t="shared" si="104"/>
        <v>0</v>
      </c>
      <c r="AF907" s="317">
        <v>1581</v>
      </c>
      <c r="AG907" s="313">
        <v>43174</v>
      </c>
      <c r="AH907" s="312">
        <v>39062100</v>
      </c>
      <c r="AI907" s="306"/>
      <c r="AJ907" s="306"/>
      <c r="AK907" s="318">
        <f t="shared" si="102"/>
        <v>0</v>
      </c>
      <c r="AL907" s="312">
        <f>VLOOKUP(AB907,RP,13,FALSE)</f>
        <v>0</v>
      </c>
      <c r="AM907" s="312">
        <f t="shared" si="100"/>
        <v>39062100</v>
      </c>
      <c r="AN907" s="306" t="s">
        <v>1863</v>
      </c>
      <c r="AO907" s="312">
        <f t="shared" si="101"/>
        <v>0</v>
      </c>
      <c r="AP907" s="306"/>
      <c r="AQ907" s="306"/>
      <c r="AR907" s="306"/>
      <c r="AS907" s="306"/>
      <c r="AT907" s="306"/>
    </row>
    <row r="908" spans="1:46" ht="76.5" x14ac:dyDescent="0.25">
      <c r="A908" s="306">
        <v>313</v>
      </c>
      <c r="B908" s="306" t="str">
        <f t="shared" si="98"/>
        <v>3075-313</v>
      </c>
      <c r="C908" s="307" t="s">
        <v>1852</v>
      </c>
      <c r="D908" s="308" t="s">
        <v>1853</v>
      </c>
      <c r="E908" s="308" t="s">
        <v>2119</v>
      </c>
      <c r="F908" s="307" t="s">
        <v>1880</v>
      </c>
      <c r="G908" s="327" t="s">
        <v>1881</v>
      </c>
      <c r="H908" s="310" t="s">
        <v>2120</v>
      </c>
      <c r="I908" s="308" t="s">
        <v>1858</v>
      </c>
      <c r="J908" s="308" t="s">
        <v>1859</v>
      </c>
      <c r="K908" s="308" t="s">
        <v>63</v>
      </c>
      <c r="L908" s="306" t="s">
        <v>1860</v>
      </c>
      <c r="M908" s="306" t="s">
        <v>59</v>
      </c>
      <c r="N908" s="306" t="s">
        <v>60</v>
      </c>
      <c r="O908" s="308" t="s">
        <v>1910</v>
      </c>
      <c r="P908" s="306" t="s">
        <v>2723</v>
      </c>
      <c r="Q908" s="315">
        <v>54686940</v>
      </c>
      <c r="R908" s="333">
        <v>1</v>
      </c>
      <c r="S908" s="312">
        <v>54686940</v>
      </c>
      <c r="T908" s="306"/>
      <c r="U908" s="306" t="s">
        <v>1876</v>
      </c>
      <c r="V908" s="313" t="s">
        <v>302</v>
      </c>
      <c r="W908" s="314" t="s">
        <v>63</v>
      </c>
      <c r="X908" s="334" t="s">
        <v>2724</v>
      </c>
      <c r="Y908" s="313">
        <v>43147</v>
      </c>
      <c r="Z908" s="315">
        <v>54686940</v>
      </c>
      <c r="AA908" s="316" t="s">
        <v>2402</v>
      </c>
      <c r="AB908" s="317">
        <v>650</v>
      </c>
      <c r="AC908" s="313">
        <v>43150</v>
      </c>
      <c r="AD908" s="312">
        <v>54686940</v>
      </c>
      <c r="AE908" s="318">
        <f t="shared" si="104"/>
        <v>0</v>
      </c>
      <c r="AF908" s="317">
        <v>1737</v>
      </c>
      <c r="AG908" s="313">
        <v>43196</v>
      </c>
      <c r="AH908" s="312">
        <v>54686940</v>
      </c>
      <c r="AI908" s="306" t="s">
        <v>2725</v>
      </c>
      <c r="AJ908" s="306">
        <v>1748</v>
      </c>
      <c r="AK908" s="318">
        <f t="shared" si="102"/>
        <v>0</v>
      </c>
      <c r="AL908" s="312">
        <f>VLOOKUP(AB908,RP,13,FALSE)</f>
        <v>0</v>
      </c>
      <c r="AM908" s="312">
        <f t="shared" si="100"/>
        <v>54686940</v>
      </c>
      <c r="AN908" s="306" t="s">
        <v>1863</v>
      </c>
      <c r="AO908" s="312">
        <f t="shared" si="101"/>
        <v>0</v>
      </c>
      <c r="AP908" s="306"/>
      <c r="AQ908" s="306"/>
      <c r="AR908" s="306"/>
      <c r="AS908" s="306"/>
      <c r="AT908" s="306"/>
    </row>
    <row r="909" spans="1:46" ht="76.5" x14ac:dyDescent="0.25">
      <c r="A909" s="306">
        <v>314</v>
      </c>
      <c r="B909" s="306" t="str">
        <f t="shared" si="98"/>
        <v>3075-314</v>
      </c>
      <c r="C909" s="307" t="s">
        <v>1852</v>
      </c>
      <c r="D909" s="308" t="s">
        <v>1853</v>
      </c>
      <c r="E909" s="308" t="s">
        <v>2119</v>
      </c>
      <c r="F909" s="307" t="s">
        <v>1880</v>
      </c>
      <c r="G909" s="327" t="s">
        <v>1881</v>
      </c>
      <c r="H909" s="310" t="s">
        <v>2120</v>
      </c>
      <c r="I909" s="308" t="s">
        <v>1858</v>
      </c>
      <c r="J909" s="308" t="s">
        <v>1859</v>
      </c>
      <c r="K909" s="308" t="s">
        <v>63</v>
      </c>
      <c r="L909" s="306" t="s">
        <v>1860</v>
      </c>
      <c r="M909" s="306" t="s">
        <v>59</v>
      </c>
      <c r="N909" s="306" t="s">
        <v>60</v>
      </c>
      <c r="O909" s="308" t="s">
        <v>1910</v>
      </c>
      <c r="P909" s="306" t="s">
        <v>2726</v>
      </c>
      <c r="Q909" s="315">
        <v>54686940</v>
      </c>
      <c r="R909" s="333">
        <v>1</v>
      </c>
      <c r="S909" s="312">
        <v>54686940</v>
      </c>
      <c r="T909" s="306" t="s">
        <v>1876</v>
      </c>
      <c r="U909" s="306" t="s">
        <v>1876</v>
      </c>
      <c r="V909" s="313" t="s">
        <v>294</v>
      </c>
      <c r="W909" s="314" t="s">
        <v>63</v>
      </c>
      <c r="X909" s="334" t="s">
        <v>2727</v>
      </c>
      <c r="Y909" s="313">
        <v>43147</v>
      </c>
      <c r="Z909" s="315">
        <v>54686940</v>
      </c>
      <c r="AA909" s="316" t="s">
        <v>2402</v>
      </c>
      <c r="AB909" s="317">
        <v>657</v>
      </c>
      <c r="AC909" s="313">
        <v>43153</v>
      </c>
      <c r="AD909" s="312">
        <v>54686940</v>
      </c>
      <c r="AE909" s="318">
        <f t="shared" si="104"/>
        <v>0</v>
      </c>
      <c r="AF909" s="317">
        <v>1577</v>
      </c>
      <c r="AG909" s="313">
        <v>43174</v>
      </c>
      <c r="AH909" s="312">
        <v>54686940</v>
      </c>
      <c r="AI909" s="306" t="s">
        <v>2728</v>
      </c>
      <c r="AJ909" s="306">
        <v>1511</v>
      </c>
      <c r="AK909" s="318">
        <f t="shared" si="102"/>
        <v>0</v>
      </c>
      <c r="AL909" s="312">
        <f>VLOOKUP(AB909,RP,13,FALSE)</f>
        <v>0</v>
      </c>
      <c r="AM909" s="312">
        <f t="shared" si="100"/>
        <v>54686940</v>
      </c>
      <c r="AN909" s="306" t="s">
        <v>1863</v>
      </c>
      <c r="AO909" s="312">
        <f t="shared" si="101"/>
        <v>0</v>
      </c>
      <c r="AP909" s="306"/>
      <c r="AQ909" s="306"/>
      <c r="AR909" s="306"/>
      <c r="AS909" s="306"/>
      <c r="AT909" s="306"/>
    </row>
    <row r="910" spans="1:46" ht="76.5" x14ac:dyDescent="0.25">
      <c r="A910" s="306">
        <v>315</v>
      </c>
      <c r="B910" s="306" t="str">
        <f t="shared" si="98"/>
        <v>3075-315</v>
      </c>
      <c r="C910" s="307" t="s">
        <v>1852</v>
      </c>
      <c r="D910" s="308" t="s">
        <v>1853</v>
      </c>
      <c r="E910" s="308" t="s">
        <v>2119</v>
      </c>
      <c r="F910" s="307" t="s">
        <v>1880</v>
      </c>
      <c r="G910" s="327" t="s">
        <v>1881</v>
      </c>
      <c r="H910" s="310" t="s">
        <v>2120</v>
      </c>
      <c r="I910" s="308" t="s">
        <v>1858</v>
      </c>
      <c r="J910" s="308" t="s">
        <v>1859</v>
      </c>
      <c r="K910" s="308" t="s">
        <v>63</v>
      </c>
      <c r="L910" s="306" t="s">
        <v>1860</v>
      </c>
      <c r="M910" s="306" t="s">
        <v>59</v>
      </c>
      <c r="N910" s="306" t="s">
        <v>60</v>
      </c>
      <c r="O910" s="308" t="s">
        <v>1910</v>
      </c>
      <c r="P910" s="306" t="s">
        <v>2729</v>
      </c>
      <c r="Q910" s="315">
        <v>54686940</v>
      </c>
      <c r="R910" s="333">
        <v>1</v>
      </c>
      <c r="S910" s="312">
        <v>54686940</v>
      </c>
      <c r="T910" s="306" t="s">
        <v>1876</v>
      </c>
      <c r="U910" s="306" t="s">
        <v>1876</v>
      </c>
      <c r="V910" s="313" t="s">
        <v>294</v>
      </c>
      <c r="W910" s="314" t="s">
        <v>63</v>
      </c>
      <c r="X910" s="334" t="s">
        <v>2730</v>
      </c>
      <c r="Y910" s="313">
        <v>43147</v>
      </c>
      <c r="Z910" s="315">
        <v>54686940</v>
      </c>
      <c r="AA910" s="316" t="s">
        <v>2402</v>
      </c>
      <c r="AB910" s="317">
        <v>651</v>
      </c>
      <c r="AC910" s="313">
        <v>43150</v>
      </c>
      <c r="AD910" s="312">
        <v>54686940</v>
      </c>
      <c r="AE910" s="318">
        <f t="shared" si="104"/>
        <v>0</v>
      </c>
      <c r="AF910" s="317">
        <v>1578</v>
      </c>
      <c r="AG910" s="313">
        <v>43174</v>
      </c>
      <c r="AH910" s="312">
        <v>54686940</v>
      </c>
      <c r="AI910" s="306" t="s">
        <v>2731</v>
      </c>
      <c r="AJ910" s="306">
        <v>1512</v>
      </c>
      <c r="AK910" s="318">
        <f t="shared" si="102"/>
        <v>0</v>
      </c>
      <c r="AL910" s="312">
        <f>VLOOKUP(AB910,RP,13,FALSE)</f>
        <v>0</v>
      </c>
      <c r="AM910" s="312">
        <f t="shared" si="100"/>
        <v>54686940</v>
      </c>
      <c r="AN910" s="306" t="s">
        <v>1863</v>
      </c>
      <c r="AO910" s="312">
        <f t="shared" si="101"/>
        <v>0</v>
      </c>
      <c r="AP910" s="306"/>
      <c r="AQ910" s="306"/>
      <c r="AR910" s="306"/>
      <c r="AS910" s="306"/>
      <c r="AT910" s="306"/>
    </row>
    <row r="911" spans="1:46" ht="76.5" x14ac:dyDescent="0.25">
      <c r="A911" s="306">
        <v>316</v>
      </c>
      <c r="B911" s="306" t="str">
        <f t="shared" si="98"/>
        <v>3075-316</v>
      </c>
      <c r="C911" s="307" t="s">
        <v>1852</v>
      </c>
      <c r="D911" s="308" t="s">
        <v>1853</v>
      </c>
      <c r="E911" s="308" t="s">
        <v>2119</v>
      </c>
      <c r="F911" s="307" t="s">
        <v>1880</v>
      </c>
      <c r="G911" s="327" t="s">
        <v>1881</v>
      </c>
      <c r="H911" s="310" t="s">
        <v>2120</v>
      </c>
      <c r="I911" s="308" t="s">
        <v>1858</v>
      </c>
      <c r="J911" s="308" t="s">
        <v>1859</v>
      </c>
      <c r="K911" s="308" t="s">
        <v>63</v>
      </c>
      <c r="L911" s="306" t="s">
        <v>1860</v>
      </c>
      <c r="M911" s="306" t="s">
        <v>59</v>
      </c>
      <c r="N911" s="306" t="s">
        <v>60</v>
      </c>
      <c r="O911" s="308" t="s">
        <v>1910</v>
      </c>
      <c r="P911" s="306" t="s">
        <v>2732</v>
      </c>
      <c r="Q911" s="315">
        <v>54686940</v>
      </c>
      <c r="R911" s="333">
        <v>1</v>
      </c>
      <c r="S911" s="312">
        <v>54686940</v>
      </c>
      <c r="T911" s="306" t="s">
        <v>1876</v>
      </c>
      <c r="U911" s="306" t="s">
        <v>1876</v>
      </c>
      <c r="V911" s="313" t="s">
        <v>294</v>
      </c>
      <c r="W911" s="314" t="s">
        <v>63</v>
      </c>
      <c r="X911" s="334" t="s">
        <v>2733</v>
      </c>
      <c r="Y911" s="313">
        <v>43147</v>
      </c>
      <c r="Z911" s="315">
        <v>54686940</v>
      </c>
      <c r="AA911" s="316" t="s">
        <v>2402</v>
      </c>
      <c r="AB911" s="317">
        <v>652</v>
      </c>
      <c r="AC911" s="313">
        <v>43150</v>
      </c>
      <c r="AD911" s="312">
        <v>54686940</v>
      </c>
      <c r="AE911" s="318">
        <f t="shared" si="104"/>
        <v>0</v>
      </c>
      <c r="AF911" s="317">
        <v>1579</v>
      </c>
      <c r="AG911" s="313">
        <v>43174</v>
      </c>
      <c r="AH911" s="312">
        <v>54686940</v>
      </c>
      <c r="AI911" s="306" t="s">
        <v>2734</v>
      </c>
      <c r="AJ911" s="306">
        <v>1513</v>
      </c>
      <c r="AK911" s="318">
        <f t="shared" si="102"/>
        <v>0</v>
      </c>
      <c r="AL911" s="312">
        <f>VLOOKUP(AB911,RP,13,FALSE)</f>
        <v>54686940</v>
      </c>
      <c r="AM911" s="312">
        <f t="shared" si="100"/>
        <v>0</v>
      </c>
      <c r="AN911" s="306" t="s">
        <v>1863</v>
      </c>
      <c r="AO911" s="312">
        <f t="shared" si="101"/>
        <v>0</v>
      </c>
      <c r="AP911" s="306"/>
      <c r="AQ911" s="306"/>
      <c r="AR911" s="306"/>
      <c r="AS911" s="306"/>
      <c r="AT911" s="306"/>
    </row>
    <row r="912" spans="1:46" ht="89.25" x14ac:dyDescent="0.25">
      <c r="A912" s="306">
        <v>317</v>
      </c>
      <c r="B912" s="306" t="str">
        <f t="shared" si="98"/>
        <v>3075-317</v>
      </c>
      <c r="C912" s="307" t="s">
        <v>1852</v>
      </c>
      <c r="D912" s="308" t="s">
        <v>1853</v>
      </c>
      <c r="E912" s="307" t="s">
        <v>1897</v>
      </c>
      <c r="F912" s="307" t="s">
        <v>1880</v>
      </c>
      <c r="G912" s="309" t="s">
        <v>1881</v>
      </c>
      <c r="H912" s="310" t="s">
        <v>1898</v>
      </c>
      <c r="I912" s="308" t="s">
        <v>1858</v>
      </c>
      <c r="J912" s="308" t="s">
        <v>1859</v>
      </c>
      <c r="K912" s="308" t="s">
        <v>63</v>
      </c>
      <c r="L912" s="306" t="s">
        <v>1860</v>
      </c>
      <c r="M912" s="306" t="s">
        <v>59</v>
      </c>
      <c r="N912" s="306" t="s">
        <v>60</v>
      </c>
      <c r="O912" s="308" t="s">
        <v>1899</v>
      </c>
      <c r="P912" s="308" t="s">
        <v>1900</v>
      </c>
      <c r="Q912" s="311">
        <v>2031457538</v>
      </c>
      <c r="R912" s="306">
        <v>1</v>
      </c>
      <c r="S912" s="312">
        <v>2031457538</v>
      </c>
      <c r="T912" s="306"/>
      <c r="U912" s="306" t="s">
        <v>1876</v>
      </c>
      <c r="V912" s="313" t="s">
        <v>836</v>
      </c>
      <c r="W912" s="314" t="s">
        <v>63</v>
      </c>
      <c r="X912" s="334" t="s">
        <v>2735</v>
      </c>
      <c r="Y912" s="313">
        <v>43147</v>
      </c>
      <c r="Z912" s="315">
        <v>2031457538</v>
      </c>
      <c r="AA912" s="316" t="s">
        <v>2736</v>
      </c>
      <c r="AB912" s="317">
        <v>649</v>
      </c>
      <c r="AC912" s="313">
        <v>43150</v>
      </c>
      <c r="AD912" s="312">
        <v>2031457538</v>
      </c>
      <c r="AE912" s="318">
        <f t="shared" si="104"/>
        <v>0</v>
      </c>
      <c r="AF912" s="317" t="s">
        <v>1902</v>
      </c>
      <c r="AG912" s="313" t="s">
        <v>1902</v>
      </c>
      <c r="AH912" s="312">
        <v>856081715</v>
      </c>
      <c r="AI912" s="306" t="s">
        <v>1902</v>
      </c>
      <c r="AJ912" s="306" t="s">
        <v>1902</v>
      </c>
      <c r="AK912" s="318">
        <f t="shared" si="102"/>
        <v>1175375823</v>
      </c>
      <c r="AL912" s="312">
        <f>SUM('[1]REGISTROS ADICIONALES'!AL1457:AL1629)</f>
        <v>0</v>
      </c>
      <c r="AM912" s="312">
        <f t="shared" si="100"/>
        <v>856081715</v>
      </c>
      <c r="AN912" s="306" t="s">
        <v>1863</v>
      </c>
      <c r="AO912" s="312">
        <f t="shared" si="101"/>
        <v>1175375823</v>
      </c>
      <c r="AP912" s="306"/>
      <c r="AQ912" s="306"/>
      <c r="AR912" s="306"/>
      <c r="AS912" s="306"/>
      <c r="AT912" s="306"/>
    </row>
    <row r="913" spans="1:46" ht="76.5" x14ac:dyDescent="0.25">
      <c r="A913" s="306">
        <v>318</v>
      </c>
      <c r="B913" s="306" t="str">
        <f t="shared" si="98"/>
        <v>3075-318</v>
      </c>
      <c r="C913" s="307" t="s">
        <v>1852</v>
      </c>
      <c r="D913" s="308" t="s">
        <v>1853</v>
      </c>
      <c r="E913" s="308" t="s">
        <v>2119</v>
      </c>
      <c r="F913" s="307" t="s">
        <v>1880</v>
      </c>
      <c r="G913" s="327" t="s">
        <v>1881</v>
      </c>
      <c r="H913" s="310" t="s">
        <v>2120</v>
      </c>
      <c r="I913" s="308" t="s">
        <v>1858</v>
      </c>
      <c r="J913" s="308" t="s">
        <v>1859</v>
      </c>
      <c r="K913" s="308" t="s">
        <v>63</v>
      </c>
      <c r="L913" s="306" t="s">
        <v>1860</v>
      </c>
      <c r="M913" s="306" t="s">
        <v>59</v>
      </c>
      <c r="N913" s="306" t="s">
        <v>60</v>
      </c>
      <c r="O913" s="308" t="s">
        <v>1910</v>
      </c>
      <c r="P913" s="306" t="s">
        <v>2737</v>
      </c>
      <c r="Q913" s="315">
        <v>54686940</v>
      </c>
      <c r="R913" s="333">
        <v>1</v>
      </c>
      <c r="S913" s="312">
        <v>54686940</v>
      </c>
      <c r="T913" s="306" t="s">
        <v>1876</v>
      </c>
      <c r="U913" s="306" t="s">
        <v>1876</v>
      </c>
      <c r="V913" s="313" t="s">
        <v>294</v>
      </c>
      <c r="W913" s="314" t="s">
        <v>63</v>
      </c>
      <c r="X913" s="334" t="s">
        <v>2738</v>
      </c>
      <c r="Y913" s="313">
        <v>43151</v>
      </c>
      <c r="Z913" s="315">
        <v>54686940</v>
      </c>
      <c r="AA913" s="316" t="s">
        <v>2402</v>
      </c>
      <c r="AB913" s="317">
        <v>656</v>
      </c>
      <c r="AC913" s="313">
        <v>43151</v>
      </c>
      <c r="AD913" s="312">
        <v>54686940</v>
      </c>
      <c r="AE913" s="318">
        <f t="shared" si="104"/>
        <v>0</v>
      </c>
      <c r="AF913" s="317">
        <v>1482</v>
      </c>
      <c r="AG913" s="313">
        <v>43160</v>
      </c>
      <c r="AH913" s="312">
        <v>54686940</v>
      </c>
      <c r="AI913" s="306" t="s">
        <v>2739</v>
      </c>
      <c r="AJ913" s="306">
        <v>1462</v>
      </c>
      <c r="AK913" s="318">
        <f t="shared" si="102"/>
        <v>0</v>
      </c>
      <c r="AL913" s="312">
        <f t="shared" ref="AL913:AL922" si="106">VLOOKUP(AB913,RP,13,FALSE)</f>
        <v>54686940</v>
      </c>
      <c r="AM913" s="312">
        <f t="shared" si="100"/>
        <v>0</v>
      </c>
      <c r="AN913" s="306" t="s">
        <v>1863</v>
      </c>
      <c r="AO913" s="312">
        <f t="shared" si="101"/>
        <v>0</v>
      </c>
      <c r="AP913" s="306"/>
      <c r="AQ913" s="306"/>
      <c r="AR913" s="306"/>
      <c r="AS913" s="306"/>
      <c r="AT913" s="306"/>
    </row>
    <row r="914" spans="1:46" ht="76.5" x14ac:dyDescent="0.25">
      <c r="A914" s="306">
        <v>319</v>
      </c>
      <c r="B914" s="306" t="str">
        <f t="shared" si="98"/>
        <v>3075-319</v>
      </c>
      <c r="C914" s="307" t="s">
        <v>1852</v>
      </c>
      <c r="D914" s="308" t="s">
        <v>1853</v>
      </c>
      <c r="E914" s="308" t="s">
        <v>2119</v>
      </c>
      <c r="F914" s="307" t="s">
        <v>1880</v>
      </c>
      <c r="G914" s="327" t="s">
        <v>1881</v>
      </c>
      <c r="H914" s="310" t="s">
        <v>2120</v>
      </c>
      <c r="I914" s="308" t="s">
        <v>1858</v>
      </c>
      <c r="J914" s="308" t="s">
        <v>1859</v>
      </c>
      <c r="K914" s="308" t="s">
        <v>63</v>
      </c>
      <c r="L914" s="306" t="s">
        <v>1860</v>
      </c>
      <c r="M914" s="306" t="s">
        <v>59</v>
      </c>
      <c r="N914" s="306" t="s">
        <v>60</v>
      </c>
      <c r="O914" s="308" t="s">
        <v>1910</v>
      </c>
      <c r="P914" s="306" t="s">
        <v>2740</v>
      </c>
      <c r="Q914" s="315">
        <v>54686940</v>
      </c>
      <c r="R914" s="333">
        <v>1</v>
      </c>
      <c r="S914" s="312">
        <v>54686940</v>
      </c>
      <c r="T914" s="306" t="s">
        <v>1876</v>
      </c>
      <c r="U914" s="306" t="s">
        <v>1876</v>
      </c>
      <c r="V914" s="313" t="s">
        <v>294</v>
      </c>
      <c r="W914" s="314" t="s">
        <v>63</v>
      </c>
      <c r="X914" s="334" t="s">
        <v>2741</v>
      </c>
      <c r="Y914" s="313">
        <v>43152</v>
      </c>
      <c r="Z914" s="315">
        <v>54686940</v>
      </c>
      <c r="AA914" s="316" t="s">
        <v>2402</v>
      </c>
      <c r="AB914" s="317">
        <v>658</v>
      </c>
      <c r="AC914" s="313">
        <v>43154</v>
      </c>
      <c r="AD914" s="312">
        <v>54686940</v>
      </c>
      <c r="AE914" s="318">
        <f t="shared" si="104"/>
        <v>0</v>
      </c>
      <c r="AF914" s="317">
        <v>1610</v>
      </c>
      <c r="AG914" s="313">
        <v>43180</v>
      </c>
      <c r="AH914" s="312">
        <v>54686940</v>
      </c>
      <c r="AI914" s="306" t="s">
        <v>2742</v>
      </c>
      <c r="AJ914" s="306">
        <v>1608</v>
      </c>
      <c r="AK914" s="318">
        <f t="shared" si="102"/>
        <v>0</v>
      </c>
      <c r="AL914" s="312">
        <f t="shared" si="106"/>
        <v>0</v>
      </c>
      <c r="AM914" s="312">
        <f t="shared" si="100"/>
        <v>54686940</v>
      </c>
      <c r="AN914" s="306" t="s">
        <v>1863</v>
      </c>
      <c r="AO914" s="312">
        <f t="shared" si="101"/>
        <v>0</v>
      </c>
      <c r="AP914" s="306"/>
      <c r="AQ914" s="306"/>
      <c r="AR914" s="306"/>
      <c r="AS914" s="306"/>
      <c r="AT914" s="306"/>
    </row>
    <row r="915" spans="1:46" ht="76.5" x14ac:dyDescent="0.25">
      <c r="A915" s="306">
        <v>320</v>
      </c>
      <c r="B915" s="306" t="str">
        <f t="shared" si="98"/>
        <v>3075-320</v>
      </c>
      <c r="C915" s="307" t="s">
        <v>1852</v>
      </c>
      <c r="D915" s="308" t="s">
        <v>1853</v>
      </c>
      <c r="E915" s="308" t="s">
        <v>2119</v>
      </c>
      <c r="F915" s="307" t="s">
        <v>1880</v>
      </c>
      <c r="G915" s="327" t="s">
        <v>1881</v>
      </c>
      <c r="H915" s="310" t="s">
        <v>2120</v>
      </c>
      <c r="I915" s="308" t="s">
        <v>1858</v>
      </c>
      <c r="J915" s="308" t="s">
        <v>1859</v>
      </c>
      <c r="K915" s="308" t="s">
        <v>63</v>
      </c>
      <c r="L915" s="306" t="s">
        <v>1860</v>
      </c>
      <c r="M915" s="306" t="s">
        <v>59</v>
      </c>
      <c r="N915" s="306" t="s">
        <v>60</v>
      </c>
      <c r="O915" s="308" t="s">
        <v>1910</v>
      </c>
      <c r="P915" s="306" t="s">
        <v>2743</v>
      </c>
      <c r="Q915" s="315">
        <v>54686940</v>
      </c>
      <c r="R915" s="333">
        <v>1</v>
      </c>
      <c r="S915" s="312">
        <v>54686940</v>
      </c>
      <c r="T915" s="306" t="s">
        <v>1876</v>
      </c>
      <c r="U915" s="306" t="s">
        <v>1876</v>
      </c>
      <c r="V915" s="313" t="s">
        <v>294</v>
      </c>
      <c r="W915" s="314" t="s">
        <v>63</v>
      </c>
      <c r="X915" s="334" t="s">
        <v>2744</v>
      </c>
      <c r="Y915" s="313">
        <v>43152</v>
      </c>
      <c r="Z915" s="315">
        <v>54686940</v>
      </c>
      <c r="AA915" s="316" t="s">
        <v>2402</v>
      </c>
      <c r="AB915" s="317">
        <v>660</v>
      </c>
      <c r="AC915" s="313">
        <v>43154</v>
      </c>
      <c r="AD915" s="312">
        <v>54686940</v>
      </c>
      <c r="AE915" s="318">
        <f t="shared" si="104"/>
        <v>0</v>
      </c>
      <c r="AF915" s="317">
        <v>1611</v>
      </c>
      <c r="AG915" s="313">
        <v>43180</v>
      </c>
      <c r="AH915" s="312">
        <v>54686940</v>
      </c>
      <c r="AI915" s="306" t="s">
        <v>2745</v>
      </c>
      <c r="AJ915" s="306">
        <v>1609</v>
      </c>
      <c r="AK915" s="318">
        <f t="shared" si="102"/>
        <v>0</v>
      </c>
      <c r="AL915" s="312">
        <f t="shared" si="106"/>
        <v>0</v>
      </c>
      <c r="AM915" s="312">
        <f t="shared" si="100"/>
        <v>54686940</v>
      </c>
      <c r="AN915" s="306" t="s">
        <v>1863</v>
      </c>
      <c r="AO915" s="312">
        <f t="shared" si="101"/>
        <v>0</v>
      </c>
      <c r="AP915" s="306"/>
      <c r="AQ915" s="306"/>
      <c r="AR915" s="306"/>
      <c r="AS915" s="306"/>
      <c r="AT915" s="306"/>
    </row>
    <row r="916" spans="1:46" ht="76.5" x14ac:dyDescent="0.25">
      <c r="A916" s="306">
        <v>321</v>
      </c>
      <c r="B916" s="306" t="str">
        <f t="shared" ref="B916:B979" si="107">CONCATENATE("3075","-",A916)</f>
        <v>3075-321</v>
      </c>
      <c r="C916" s="307" t="s">
        <v>1852</v>
      </c>
      <c r="D916" s="308" t="s">
        <v>1853</v>
      </c>
      <c r="E916" s="308" t="s">
        <v>2119</v>
      </c>
      <c r="F916" s="307" t="s">
        <v>1880</v>
      </c>
      <c r="G916" s="327" t="s">
        <v>1881</v>
      </c>
      <c r="H916" s="310" t="s">
        <v>2120</v>
      </c>
      <c r="I916" s="308" t="s">
        <v>1858</v>
      </c>
      <c r="J916" s="308" t="s">
        <v>1859</v>
      </c>
      <c r="K916" s="308" t="s">
        <v>63</v>
      </c>
      <c r="L916" s="306" t="s">
        <v>1860</v>
      </c>
      <c r="M916" s="306" t="s">
        <v>59</v>
      </c>
      <c r="N916" s="306" t="s">
        <v>60</v>
      </c>
      <c r="O916" s="308" t="s">
        <v>1910</v>
      </c>
      <c r="P916" s="306" t="s">
        <v>2746</v>
      </c>
      <c r="Q916" s="315">
        <v>54686940</v>
      </c>
      <c r="R916" s="333">
        <v>1</v>
      </c>
      <c r="S916" s="312">
        <v>54686940</v>
      </c>
      <c r="T916" s="306" t="s">
        <v>1876</v>
      </c>
      <c r="U916" s="306" t="s">
        <v>1876</v>
      </c>
      <c r="V916" s="313" t="s">
        <v>294</v>
      </c>
      <c r="W916" s="314" t="s">
        <v>63</v>
      </c>
      <c r="X916" s="334" t="s">
        <v>2747</v>
      </c>
      <c r="Y916" s="313">
        <v>43159</v>
      </c>
      <c r="Z916" s="315">
        <v>54686940</v>
      </c>
      <c r="AA916" s="316" t="s">
        <v>2402</v>
      </c>
      <c r="AB916" s="317">
        <v>668</v>
      </c>
      <c r="AC916" s="313">
        <v>43160</v>
      </c>
      <c r="AD916" s="312">
        <v>54686940</v>
      </c>
      <c r="AE916" s="318">
        <f t="shared" si="104"/>
        <v>0</v>
      </c>
      <c r="AF916" s="317">
        <v>1640</v>
      </c>
      <c r="AG916" s="313">
        <v>43182</v>
      </c>
      <c r="AH916" s="312">
        <v>54686940</v>
      </c>
      <c r="AI916" s="306" t="s">
        <v>2748</v>
      </c>
      <c r="AJ916" s="306">
        <v>1631</v>
      </c>
      <c r="AK916" s="318">
        <f t="shared" si="102"/>
        <v>0</v>
      </c>
      <c r="AL916" s="312">
        <f t="shared" si="106"/>
        <v>54686940</v>
      </c>
      <c r="AM916" s="312">
        <f t="shared" ref="AM916:AM979" si="108">AH916-AL916</f>
        <v>0</v>
      </c>
      <c r="AN916" s="306" t="s">
        <v>1863</v>
      </c>
      <c r="AO916" s="312">
        <f t="shared" ref="AO916:AO979" si="109">S916-AH916</f>
        <v>0</v>
      </c>
      <c r="AP916" s="306"/>
      <c r="AQ916" s="306"/>
      <c r="AR916" s="306"/>
      <c r="AS916" s="306"/>
      <c r="AT916" s="306"/>
    </row>
    <row r="917" spans="1:46" ht="76.5" x14ac:dyDescent="0.25">
      <c r="A917" s="306">
        <v>322</v>
      </c>
      <c r="B917" s="306" t="str">
        <f t="shared" si="107"/>
        <v>3075-322</v>
      </c>
      <c r="C917" s="307" t="s">
        <v>1852</v>
      </c>
      <c r="D917" s="308" t="s">
        <v>1853</v>
      </c>
      <c r="E917" s="308" t="s">
        <v>2119</v>
      </c>
      <c r="F917" s="307" t="s">
        <v>1880</v>
      </c>
      <c r="G917" s="327" t="s">
        <v>1881</v>
      </c>
      <c r="H917" s="310" t="s">
        <v>2120</v>
      </c>
      <c r="I917" s="308" t="s">
        <v>1858</v>
      </c>
      <c r="J917" s="308" t="s">
        <v>1859</v>
      </c>
      <c r="K917" s="308" t="s">
        <v>63</v>
      </c>
      <c r="L917" s="306" t="s">
        <v>1860</v>
      </c>
      <c r="M917" s="306" t="s">
        <v>59</v>
      </c>
      <c r="N917" s="306" t="s">
        <v>60</v>
      </c>
      <c r="O917" s="308" t="s">
        <v>1910</v>
      </c>
      <c r="P917" s="306" t="s">
        <v>2749</v>
      </c>
      <c r="Q917" s="315">
        <v>54686940</v>
      </c>
      <c r="R917" s="333">
        <v>1</v>
      </c>
      <c r="S917" s="312">
        <v>54686940</v>
      </c>
      <c r="T917" s="306"/>
      <c r="U917" s="306" t="s">
        <v>1876</v>
      </c>
      <c r="V917" s="313" t="s">
        <v>302</v>
      </c>
      <c r="W917" s="314" t="s">
        <v>63</v>
      </c>
      <c r="X917" s="334" t="s">
        <v>2750</v>
      </c>
      <c r="Y917" s="313">
        <v>43159</v>
      </c>
      <c r="Z917" s="315">
        <v>54686940</v>
      </c>
      <c r="AA917" s="316" t="s">
        <v>2402</v>
      </c>
      <c r="AB917" s="317">
        <v>666</v>
      </c>
      <c r="AC917" s="313">
        <v>43160</v>
      </c>
      <c r="AD917" s="312">
        <v>54686940</v>
      </c>
      <c r="AE917" s="318">
        <f t="shared" si="104"/>
        <v>0</v>
      </c>
      <c r="AF917" s="317">
        <v>1764</v>
      </c>
      <c r="AG917" s="313">
        <v>43201</v>
      </c>
      <c r="AH917" s="312">
        <v>54686940</v>
      </c>
      <c r="AI917" s="306" t="s">
        <v>2751</v>
      </c>
      <c r="AJ917" s="306">
        <v>1774</v>
      </c>
      <c r="AK917" s="318">
        <f t="shared" ref="AK917:AK980" si="110">AD917-AH917</f>
        <v>0</v>
      </c>
      <c r="AL917" s="312">
        <f t="shared" si="106"/>
        <v>54686940</v>
      </c>
      <c r="AM917" s="312">
        <f t="shared" si="108"/>
        <v>0</v>
      </c>
      <c r="AN917" s="306" t="s">
        <v>1863</v>
      </c>
      <c r="AO917" s="312">
        <f t="shared" si="109"/>
        <v>0</v>
      </c>
      <c r="AP917" s="306"/>
      <c r="AQ917" s="306"/>
      <c r="AR917" s="306"/>
      <c r="AS917" s="306"/>
      <c r="AT917" s="306"/>
    </row>
    <row r="918" spans="1:46" ht="76.5" x14ac:dyDescent="0.25">
      <c r="A918" s="306">
        <v>323</v>
      </c>
      <c r="B918" s="306" t="str">
        <f t="shared" si="107"/>
        <v>3075-323</v>
      </c>
      <c r="C918" s="307" t="s">
        <v>1852</v>
      </c>
      <c r="D918" s="308" t="s">
        <v>1853</v>
      </c>
      <c r="E918" s="308" t="s">
        <v>2119</v>
      </c>
      <c r="F918" s="307" t="s">
        <v>1880</v>
      </c>
      <c r="G918" s="327" t="s">
        <v>1881</v>
      </c>
      <c r="H918" s="310" t="s">
        <v>2120</v>
      </c>
      <c r="I918" s="308" t="s">
        <v>1858</v>
      </c>
      <c r="J918" s="308" t="s">
        <v>1859</v>
      </c>
      <c r="K918" s="308" t="s">
        <v>63</v>
      </c>
      <c r="L918" s="306" t="s">
        <v>1860</v>
      </c>
      <c r="M918" s="306" t="s">
        <v>59</v>
      </c>
      <c r="N918" s="306" t="s">
        <v>60</v>
      </c>
      <c r="O918" s="308" t="s">
        <v>1910</v>
      </c>
      <c r="P918" s="306" t="s">
        <v>2752</v>
      </c>
      <c r="Q918" s="315">
        <v>54686940</v>
      </c>
      <c r="R918" s="333">
        <v>1</v>
      </c>
      <c r="S918" s="312">
        <v>54686940</v>
      </c>
      <c r="T918" s="306"/>
      <c r="U918" s="306" t="s">
        <v>1876</v>
      </c>
      <c r="V918" s="313" t="s">
        <v>302</v>
      </c>
      <c r="W918" s="314" t="s">
        <v>63</v>
      </c>
      <c r="X918" s="334" t="s">
        <v>2753</v>
      </c>
      <c r="Y918" s="313">
        <v>43159</v>
      </c>
      <c r="Z918" s="315">
        <v>54686940</v>
      </c>
      <c r="AA918" s="316" t="s">
        <v>2402</v>
      </c>
      <c r="AB918" s="317">
        <v>670</v>
      </c>
      <c r="AC918" s="313">
        <v>43161</v>
      </c>
      <c r="AD918" s="312">
        <v>54686940</v>
      </c>
      <c r="AE918" s="318">
        <f t="shared" si="104"/>
        <v>0</v>
      </c>
      <c r="AF918" s="317">
        <v>1807</v>
      </c>
      <c r="AG918" s="313">
        <v>43207</v>
      </c>
      <c r="AH918" s="312">
        <v>54686940</v>
      </c>
      <c r="AI918" s="306" t="s">
        <v>2754</v>
      </c>
      <c r="AJ918" s="306">
        <v>1865</v>
      </c>
      <c r="AK918" s="318">
        <f t="shared" si="110"/>
        <v>0</v>
      </c>
      <c r="AL918" s="312">
        <f t="shared" si="106"/>
        <v>0</v>
      </c>
      <c r="AM918" s="312">
        <f t="shared" si="108"/>
        <v>54686940</v>
      </c>
      <c r="AN918" s="306" t="s">
        <v>1863</v>
      </c>
      <c r="AO918" s="312">
        <f t="shared" si="109"/>
        <v>0</v>
      </c>
      <c r="AP918" s="306"/>
      <c r="AQ918" s="306"/>
      <c r="AR918" s="306"/>
      <c r="AS918" s="306"/>
      <c r="AT918" s="306"/>
    </row>
    <row r="919" spans="1:46" ht="76.5" x14ac:dyDescent="0.25">
      <c r="A919" s="306">
        <v>324</v>
      </c>
      <c r="B919" s="306" t="str">
        <f t="shared" si="107"/>
        <v>3075-324</v>
      </c>
      <c r="C919" s="307" t="s">
        <v>1852</v>
      </c>
      <c r="D919" s="308" t="s">
        <v>1853</v>
      </c>
      <c r="E919" s="308" t="s">
        <v>2119</v>
      </c>
      <c r="F919" s="307" t="s">
        <v>1880</v>
      </c>
      <c r="G919" s="327" t="s">
        <v>1881</v>
      </c>
      <c r="H919" s="310" t="s">
        <v>2120</v>
      </c>
      <c r="I919" s="308" t="s">
        <v>1858</v>
      </c>
      <c r="J919" s="308" t="s">
        <v>1859</v>
      </c>
      <c r="K919" s="308" t="s">
        <v>63</v>
      </c>
      <c r="L919" s="306" t="s">
        <v>1860</v>
      </c>
      <c r="M919" s="306" t="s">
        <v>59</v>
      </c>
      <c r="N919" s="306" t="s">
        <v>60</v>
      </c>
      <c r="O919" s="308" t="s">
        <v>1910</v>
      </c>
      <c r="P919" s="306" t="s">
        <v>2755</v>
      </c>
      <c r="Q919" s="315">
        <v>54686940</v>
      </c>
      <c r="R919" s="333">
        <v>1</v>
      </c>
      <c r="S919" s="312">
        <v>54686940</v>
      </c>
      <c r="T919" s="306"/>
      <c r="U919" s="306" t="s">
        <v>1876</v>
      </c>
      <c r="V919" s="313" t="s">
        <v>302</v>
      </c>
      <c r="W919" s="314" t="s">
        <v>63</v>
      </c>
      <c r="X919" s="334" t="s">
        <v>2756</v>
      </c>
      <c r="Y919" s="313">
        <v>43159</v>
      </c>
      <c r="Z919" s="315">
        <v>54686940</v>
      </c>
      <c r="AA919" s="316" t="s">
        <v>2402</v>
      </c>
      <c r="AB919" s="317">
        <v>667</v>
      </c>
      <c r="AC919" s="313">
        <v>43160</v>
      </c>
      <c r="AD919" s="312">
        <v>54686940</v>
      </c>
      <c r="AE919" s="318">
        <f t="shared" si="104"/>
        <v>0</v>
      </c>
      <c r="AF919" s="317">
        <v>1768</v>
      </c>
      <c r="AG919" s="313">
        <v>43201</v>
      </c>
      <c r="AH919" s="312">
        <v>54686940</v>
      </c>
      <c r="AI919" s="306" t="s">
        <v>2757</v>
      </c>
      <c r="AJ919" s="306">
        <v>1776</v>
      </c>
      <c r="AK919" s="318">
        <f t="shared" si="110"/>
        <v>0</v>
      </c>
      <c r="AL919" s="312">
        <f t="shared" si="106"/>
        <v>54686940</v>
      </c>
      <c r="AM919" s="312">
        <f t="shared" si="108"/>
        <v>0</v>
      </c>
      <c r="AN919" s="306" t="s">
        <v>1863</v>
      </c>
      <c r="AO919" s="312">
        <f t="shared" si="109"/>
        <v>0</v>
      </c>
      <c r="AP919" s="306"/>
      <c r="AQ919" s="306"/>
      <c r="AR919" s="306"/>
      <c r="AS919" s="306"/>
      <c r="AT919" s="306"/>
    </row>
    <row r="920" spans="1:46" ht="153" x14ac:dyDescent="0.25">
      <c r="A920" s="306">
        <v>325</v>
      </c>
      <c r="B920" s="306" t="str">
        <f t="shared" si="107"/>
        <v>3075-325</v>
      </c>
      <c r="C920" s="307" t="s">
        <v>1852</v>
      </c>
      <c r="D920" s="308" t="s">
        <v>1853</v>
      </c>
      <c r="E920" s="308" t="s">
        <v>2119</v>
      </c>
      <c r="F920" s="307" t="s">
        <v>1907</v>
      </c>
      <c r="G920" s="327" t="s">
        <v>1908</v>
      </c>
      <c r="H920" s="335" t="s">
        <v>1909</v>
      </c>
      <c r="I920" s="308" t="s">
        <v>1858</v>
      </c>
      <c r="J920" s="308" t="s">
        <v>1859</v>
      </c>
      <c r="K920" s="308">
        <v>801116</v>
      </c>
      <c r="L920" s="306" t="s">
        <v>1860</v>
      </c>
      <c r="M920" s="306" t="s">
        <v>59</v>
      </c>
      <c r="N920" s="306" t="s">
        <v>60</v>
      </c>
      <c r="O920" s="308" t="s">
        <v>1910</v>
      </c>
      <c r="P920" s="329" t="s">
        <v>2758</v>
      </c>
      <c r="Q920" s="315">
        <v>3450000</v>
      </c>
      <c r="R920" s="306">
        <v>1</v>
      </c>
      <c r="S920" s="312">
        <v>10350000</v>
      </c>
      <c r="T920" s="306" t="s">
        <v>900</v>
      </c>
      <c r="U920" s="306" t="s">
        <v>1906</v>
      </c>
      <c r="V920" s="313" t="s">
        <v>294</v>
      </c>
      <c r="W920" s="314">
        <v>3</v>
      </c>
      <c r="X920" s="329" t="s">
        <v>2759</v>
      </c>
      <c r="Y920" s="313">
        <v>43161</v>
      </c>
      <c r="Z920" s="315">
        <v>10350000</v>
      </c>
      <c r="AA920" s="316" t="s">
        <v>2335</v>
      </c>
      <c r="AB920" s="317">
        <v>676</v>
      </c>
      <c r="AC920" s="313">
        <v>43164</v>
      </c>
      <c r="AD920" s="312">
        <v>10350000</v>
      </c>
      <c r="AE920" s="318">
        <f t="shared" si="104"/>
        <v>0</v>
      </c>
      <c r="AF920" s="317">
        <v>1612</v>
      </c>
      <c r="AG920" s="313">
        <v>43181</v>
      </c>
      <c r="AH920" s="312">
        <v>10350000</v>
      </c>
      <c r="AI920" s="306"/>
      <c r="AJ920" s="306"/>
      <c r="AK920" s="318">
        <f t="shared" si="110"/>
        <v>0</v>
      </c>
      <c r="AL920" s="312">
        <f t="shared" si="106"/>
        <v>690000</v>
      </c>
      <c r="AM920" s="312">
        <f t="shared" si="108"/>
        <v>9660000</v>
      </c>
      <c r="AN920" s="306" t="s">
        <v>1863</v>
      </c>
      <c r="AO920" s="312">
        <f t="shared" si="109"/>
        <v>0</v>
      </c>
      <c r="AP920" s="306"/>
      <c r="AQ920" s="313">
        <v>43160</v>
      </c>
      <c r="AR920" s="306" t="s">
        <v>2760</v>
      </c>
      <c r="AS920" s="313">
        <v>43161</v>
      </c>
      <c r="AT920" s="306" t="s">
        <v>2134</v>
      </c>
    </row>
    <row r="921" spans="1:46" ht="102" x14ac:dyDescent="0.25">
      <c r="A921" s="306">
        <v>326</v>
      </c>
      <c r="B921" s="306" t="str">
        <f t="shared" si="107"/>
        <v>3075-326</v>
      </c>
      <c r="C921" s="307" t="s">
        <v>1852</v>
      </c>
      <c r="D921" s="308" t="s">
        <v>1853</v>
      </c>
      <c r="E921" s="308" t="s">
        <v>1879</v>
      </c>
      <c r="F921" s="307" t="s">
        <v>1880</v>
      </c>
      <c r="G921" s="309" t="s">
        <v>1881</v>
      </c>
      <c r="H921" s="310" t="s">
        <v>1882</v>
      </c>
      <c r="I921" s="308" t="s">
        <v>1858</v>
      </c>
      <c r="J921" s="308" t="s">
        <v>1883</v>
      </c>
      <c r="K921" s="308" t="s">
        <v>63</v>
      </c>
      <c r="L921" s="306" t="s">
        <v>1860</v>
      </c>
      <c r="M921" s="306" t="s">
        <v>59</v>
      </c>
      <c r="N921" s="306" t="s">
        <v>60</v>
      </c>
      <c r="O921" s="308" t="s">
        <v>1874</v>
      </c>
      <c r="P921" s="308" t="s">
        <v>2761</v>
      </c>
      <c r="Q921" s="311">
        <v>39062100</v>
      </c>
      <c r="R921" s="306">
        <v>1</v>
      </c>
      <c r="S921" s="312">
        <v>39062100</v>
      </c>
      <c r="T921" s="306" t="s">
        <v>1876</v>
      </c>
      <c r="U921" s="306" t="s">
        <v>1876</v>
      </c>
      <c r="V921" s="313" t="s">
        <v>294</v>
      </c>
      <c r="W921" s="314" t="s">
        <v>63</v>
      </c>
      <c r="X921" s="323" t="s">
        <v>2762</v>
      </c>
      <c r="Y921" s="313">
        <v>43161</v>
      </c>
      <c r="Z921" s="312">
        <v>39062100</v>
      </c>
      <c r="AA921" s="316" t="s">
        <v>2680</v>
      </c>
      <c r="AB921" s="317">
        <v>682</v>
      </c>
      <c r="AC921" s="313">
        <v>43164</v>
      </c>
      <c r="AD921" s="312">
        <v>39062100</v>
      </c>
      <c r="AE921" s="318">
        <f t="shared" si="104"/>
        <v>0</v>
      </c>
      <c r="AF921" s="317">
        <v>1661</v>
      </c>
      <c r="AG921" s="313">
        <v>43186</v>
      </c>
      <c r="AH921" s="312">
        <v>39062100</v>
      </c>
      <c r="AI921" s="306"/>
      <c r="AJ921" s="306"/>
      <c r="AK921" s="318">
        <f t="shared" si="110"/>
        <v>0</v>
      </c>
      <c r="AL921" s="312">
        <f t="shared" si="106"/>
        <v>0</v>
      </c>
      <c r="AM921" s="312">
        <f t="shared" si="108"/>
        <v>39062100</v>
      </c>
      <c r="AN921" s="306" t="s">
        <v>1863</v>
      </c>
      <c r="AO921" s="312">
        <f t="shared" si="109"/>
        <v>0</v>
      </c>
      <c r="AP921" s="306"/>
      <c r="AQ921" s="313">
        <v>43160</v>
      </c>
      <c r="AR921" s="306" t="s">
        <v>2760</v>
      </c>
      <c r="AS921" s="313">
        <v>43161</v>
      </c>
      <c r="AT921" s="306" t="s">
        <v>2761</v>
      </c>
    </row>
    <row r="922" spans="1:46" ht="127.5" x14ac:dyDescent="0.25">
      <c r="A922" s="306">
        <v>327</v>
      </c>
      <c r="B922" s="306" t="str">
        <f t="shared" si="107"/>
        <v>3075-327</v>
      </c>
      <c r="C922" s="307" t="s">
        <v>1852</v>
      </c>
      <c r="D922" s="308" t="s">
        <v>1853</v>
      </c>
      <c r="E922" s="308" t="s">
        <v>1879</v>
      </c>
      <c r="F922" s="307" t="s">
        <v>1880</v>
      </c>
      <c r="G922" s="309" t="s">
        <v>1881</v>
      </c>
      <c r="H922" s="310" t="s">
        <v>1882</v>
      </c>
      <c r="I922" s="308" t="s">
        <v>1858</v>
      </c>
      <c r="J922" s="308" t="s">
        <v>1883</v>
      </c>
      <c r="K922" s="308" t="s">
        <v>63</v>
      </c>
      <c r="L922" s="306" t="s">
        <v>1860</v>
      </c>
      <c r="M922" s="306" t="s">
        <v>59</v>
      </c>
      <c r="N922" s="306" t="s">
        <v>60</v>
      </c>
      <c r="O922" s="308" t="s">
        <v>1874</v>
      </c>
      <c r="P922" s="308" t="s">
        <v>2763</v>
      </c>
      <c r="Q922" s="311">
        <v>39062100</v>
      </c>
      <c r="R922" s="306">
        <v>1</v>
      </c>
      <c r="S922" s="312">
        <v>39062100</v>
      </c>
      <c r="T922" s="306"/>
      <c r="U922" s="306" t="s">
        <v>1876</v>
      </c>
      <c r="V922" s="313" t="s">
        <v>302</v>
      </c>
      <c r="W922" s="314" t="s">
        <v>63</v>
      </c>
      <c r="X922" s="329" t="s">
        <v>2764</v>
      </c>
      <c r="Y922" s="313">
        <v>43161</v>
      </c>
      <c r="Z922" s="312">
        <v>39062100</v>
      </c>
      <c r="AA922" s="316" t="s">
        <v>2680</v>
      </c>
      <c r="AB922" s="317">
        <v>674</v>
      </c>
      <c r="AC922" s="313">
        <v>43164</v>
      </c>
      <c r="AD922" s="312">
        <v>39062100</v>
      </c>
      <c r="AE922" s="318">
        <f t="shared" si="104"/>
        <v>0</v>
      </c>
      <c r="AF922" s="317">
        <v>1718</v>
      </c>
      <c r="AG922" s="313">
        <v>43195</v>
      </c>
      <c r="AH922" s="312">
        <v>39062100</v>
      </c>
      <c r="AI922" s="306" t="s">
        <v>2765</v>
      </c>
      <c r="AJ922" s="306">
        <v>1690</v>
      </c>
      <c r="AK922" s="318">
        <f t="shared" si="110"/>
        <v>0</v>
      </c>
      <c r="AL922" s="312">
        <f t="shared" si="106"/>
        <v>0</v>
      </c>
      <c r="AM922" s="312">
        <f t="shared" si="108"/>
        <v>39062100</v>
      </c>
      <c r="AN922" s="306" t="s">
        <v>1863</v>
      </c>
      <c r="AO922" s="312">
        <f t="shared" si="109"/>
        <v>0</v>
      </c>
      <c r="AP922" s="306"/>
      <c r="AQ922" s="313">
        <v>43160</v>
      </c>
      <c r="AR922" s="306" t="s">
        <v>2760</v>
      </c>
      <c r="AS922" s="313">
        <v>43161</v>
      </c>
      <c r="AT922" s="306" t="str">
        <f>P922</f>
        <v>VUR de la actual vigencia. Decreto 255 de 2013. LOCALIDAD: CIUDAD BOLIVAR; BARRIO: SAUCES HORTALIZAS (HORTALIZAS); ID:2012-19-14175</v>
      </c>
    </row>
    <row r="923" spans="1:46" ht="204" x14ac:dyDescent="0.25">
      <c r="A923" s="306">
        <v>328</v>
      </c>
      <c r="B923" s="306" t="str">
        <f t="shared" si="107"/>
        <v>3075-328</v>
      </c>
      <c r="C923" s="307" t="s">
        <v>1852</v>
      </c>
      <c r="D923" s="308" t="s">
        <v>1853</v>
      </c>
      <c r="E923" s="308" t="s">
        <v>1879</v>
      </c>
      <c r="F923" s="307" t="s">
        <v>1880</v>
      </c>
      <c r="G923" s="309" t="s">
        <v>1881</v>
      </c>
      <c r="H923" s="310" t="s">
        <v>1882</v>
      </c>
      <c r="I923" s="308" t="s">
        <v>1858</v>
      </c>
      <c r="J923" s="308" t="s">
        <v>1883</v>
      </c>
      <c r="K923" s="308" t="s">
        <v>63</v>
      </c>
      <c r="L923" s="306" t="s">
        <v>1860</v>
      </c>
      <c r="M923" s="306" t="s">
        <v>59</v>
      </c>
      <c r="N923" s="306" t="s">
        <v>60</v>
      </c>
      <c r="O923" s="308" t="s">
        <v>1874</v>
      </c>
      <c r="P923" s="308" t="s">
        <v>2766</v>
      </c>
      <c r="Q923" s="311">
        <v>5100000</v>
      </c>
      <c r="R923" s="306">
        <v>1</v>
      </c>
      <c r="S923" s="312">
        <v>5100000</v>
      </c>
      <c r="T923" s="306"/>
      <c r="U923" s="306" t="s">
        <v>1876</v>
      </c>
      <c r="V923" s="320" t="s">
        <v>302</v>
      </c>
      <c r="W923" s="314" t="s">
        <v>63</v>
      </c>
      <c r="X923" s="323" t="s">
        <v>2767</v>
      </c>
      <c r="Y923" s="313">
        <v>43161</v>
      </c>
      <c r="Z923" s="315">
        <v>5100000</v>
      </c>
      <c r="AA923" s="316" t="s">
        <v>2680</v>
      </c>
      <c r="AB923" s="317">
        <v>673</v>
      </c>
      <c r="AC923" s="313">
        <v>43164</v>
      </c>
      <c r="AD923" s="312">
        <v>5100000</v>
      </c>
      <c r="AE923" s="318">
        <f t="shared" si="104"/>
        <v>0</v>
      </c>
      <c r="AF923" s="317"/>
      <c r="AG923" s="313"/>
      <c r="AH923" s="312"/>
      <c r="AI923" s="306"/>
      <c r="AJ923" s="306"/>
      <c r="AK923" s="318">
        <f t="shared" si="110"/>
        <v>5100000</v>
      </c>
      <c r="AL923" s="312">
        <v>0</v>
      </c>
      <c r="AM923" s="312">
        <f t="shared" si="108"/>
        <v>0</v>
      </c>
      <c r="AN923" s="306" t="s">
        <v>1863</v>
      </c>
      <c r="AO923" s="312">
        <f t="shared" si="109"/>
        <v>5100000</v>
      </c>
      <c r="AP923" s="306"/>
      <c r="AQ923" s="313">
        <v>43160</v>
      </c>
      <c r="AR923" s="306" t="s">
        <v>2760</v>
      </c>
      <c r="AS923" s="313">
        <v>43161</v>
      </c>
      <c r="AT923" s="306" t="str">
        <f>P923</f>
        <v>Reajuste de VUR para completar el cierre financiero de la vivienda de reposición escogida por el beneficiario en el proyecto Torres de San Miguel. LOCALIDAD: CIUDAD BOLIVAR; BARRIO: MIRADOR DE LA ESTANCIA I; ID:2012-ALES-231</v>
      </c>
    </row>
    <row r="924" spans="1:46" ht="76.5" x14ac:dyDescent="0.25">
      <c r="A924" s="306">
        <v>329</v>
      </c>
      <c r="B924" s="306" t="str">
        <f t="shared" si="107"/>
        <v>3075-329</v>
      </c>
      <c r="C924" s="307" t="s">
        <v>1852</v>
      </c>
      <c r="D924" s="308" t="s">
        <v>1853</v>
      </c>
      <c r="E924" s="308" t="s">
        <v>2119</v>
      </c>
      <c r="F924" s="307" t="s">
        <v>1880</v>
      </c>
      <c r="G924" s="327" t="s">
        <v>1881</v>
      </c>
      <c r="H924" s="310" t="s">
        <v>2120</v>
      </c>
      <c r="I924" s="308" t="s">
        <v>1858</v>
      </c>
      <c r="J924" s="308" t="s">
        <v>1859</v>
      </c>
      <c r="K924" s="308" t="s">
        <v>63</v>
      </c>
      <c r="L924" s="306" t="s">
        <v>1860</v>
      </c>
      <c r="M924" s="306" t="s">
        <v>59</v>
      </c>
      <c r="N924" s="306" t="s">
        <v>60</v>
      </c>
      <c r="O924" s="308" t="s">
        <v>1910</v>
      </c>
      <c r="P924" s="306" t="s">
        <v>2768</v>
      </c>
      <c r="Q924" s="315">
        <v>54686940</v>
      </c>
      <c r="R924" s="333">
        <v>1</v>
      </c>
      <c r="S924" s="312">
        <v>54686940</v>
      </c>
      <c r="T924" s="306"/>
      <c r="U924" s="306" t="s">
        <v>1876</v>
      </c>
      <c r="V924" s="320" t="s">
        <v>302</v>
      </c>
      <c r="W924" s="314" t="s">
        <v>63</v>
      </c>
      <c r="X924" s="329" t="s">
        <v>2769</v>
      </c>
      <c r="Y924" s="313">
        <v>43161</v>
      </c>
      <c r="Z924" s="315">
        <v>54686940</v>
      </c>
      <c r="AA924" s="316" t="s">
        <v>2402</v>
      </c>
      <c r="AB924" s="317">
        <v>675</v>
      </c>
      <c r="AC924" s="313">
        <v>43164</v>
      </c>
      <c r="AD924" s="312">
        <v>54686940</v>
      </c>
      <c r="AE924" s="318">
        <f t="shared" si="104"/>
        <v>0</v>
      </c>
      <c r="AF924" s="317"/>
      <c r="AG924" s="313"/>
      <c r="AH924" s="312"/>
      <c r="AI924" s="306"/>
      <c r="AJ924" s="306"/>
      <c r="AK924" s="318">
        <f t="shared" si="110"/>
        <v>54686940</v>
      </c>
      <c r="AL924" s="312">
        <v>0</v>
      </c>
      <c r="AM924" s="312">
        <f t="shared" si="108"/>
        <v>0</v>
      </c>
      <c r="AN924" s="306" t="s">
        <v>1863</v>
      </c>
      <c r="AO924" s="312">
        <f t="shared" si="109"/>
        <v>54686940</v>
      </c>
      <c r="AP924" s="306"/>
      <c r="AQ924" s="306"/>
      <c r="AR924" s="306"/>
      <c r="AS924" s="306"/>
      <c r="AT924" s="306"/>
    </row>
    <row r="925" spans="1:46" ht="76.5" x14ac:dyDescent="0.25">
      <c r="A925" s="306">
        <v>330</v>
      </c>
      <c r="B925" s="306" t="str">
        <f t="shared" si="107"/>
        <v>3075-330</v>
      </c>
      <c r="C925" s="307" t="s">
        <v>1852</v>
      </c>
      <c r="D925" s="308" t="s">
        <v>1853</v>
      </c>
      <c r="E925" s="308" t="s">
        <v>2119</v>
      </c>
      <c r="F925" s="307" t="s">
        <v>1880</v>
      </c>
      <c r="G925" s="327" t="s">
        <v>1881</v>
      </c>
      <c r="H925" s="310" t="s">
        <v>2120</v>
      </c>
      <c r="I925" s="308" t="s">
        <v>1858</v>
      </c>
      <c r="J925" s="308" t="s">
        <v>1859</v>
      </c>
      <c r="K925" s="308" t="s">
        <v>63</v>
      </c>
      <c r="L925" s="306" t="s">
        <v>1860</v>
      </c>
      <c r="M925" s="306" t="s">
        <v>59</v>
      </c>
      <c r="N925" s="306" t="s">
        <v>60</v>
      </c>
      <c r="O925" s="308" t="s">
        <v>1910</v>
      </c>
      <c r="P925" s="306" t="s">
        <v>2770</v>
      </c>
      <c r="Q925" s="315">
        <v>54686940</v>
      </c>
      <c r="R925" s="333">
        <v>1</v>
      </c>
      <c r="S925" s="312">
        <v>54686940</v>
      </c>
      <c r="T925" s="306" t="s">
        <v>1876</v>
      </c>
      <c r="U925" s="306" t="s">
        <v>1876</v>
      </c>
      <c r="V925" s="313" t="s">
        <v>294</v>
      </c>
      <c r="W925" s="314" t="s">
        <v>63</v>
      </c>
      <c r="X925" s="323" t="s">
        <v>2771</v>
      </c>
      <c r="Y925" s="313">
        <v>43161</v>
      </c>
      <c r="Z925" s="315">
        <v>54686940</v>
      </c>
      <c r="AA925" s="316" t="s">
        <v>2402</v>
      </c>
      <c r="AB925" s="317">
        <v>678</v>
      </c>
      <c r="AC925" s="313">
        <v>43164</v>
      </c>
      <c r="AD925" s="312">
        <v>54686940</v>
      </c>
      <c r="AE925" s="318">
        <f t="shared" si="104"/>
        <v>0</v>
      </c>
      <c r="AF925" s="317">
        <v>1641</v>
      </c>
      <c r="AG925" s="313">
        <v>43182</v>
      </c>
      <c r="AH925" s="312">
        <v>54686940</v>
      </c>
      <c r="AI925" s="306" t="s">
        <v>2772</v>
      </c>
      <c r="AJ925" s="306">
        <v>1629</v>
      </c>
      <c r="AK925" s="318">
        <f t="shared" si="110"/>
        <v>0</v>
      </c>
      <c r="AL925" s="312">
        <f>VLOOKUP(AB925,RP,13,FALSE)</f>
        <v>0</v>
      </c>
      <c r="AM925" s="312">
        <f t="shared" si="108"/>
        <v>54686940</v>
      </c>
      <c r="AN925" s="306" t="s">
        <v>1863</v>
      </c>
      <c r="AO925" s="312">
        <f t="shared" si="109"/>
        <v>0</v>
      </c>
      <c r="AP925" s="306"/>
      <c r="AQ925" s="306"/>
      <c r="AR925" s="306"/>
      <c r="AS925" s="306"/>
      <c r="AT925" s="306"/>
    </row>
    <row r="926" spans="1:46" ht="76.5" x14ac:dyDescent="0.25">
      <c r="A926" s="306">
        <v>331</v>
      </c>
      <c r="B926" s="306" t="str">
        <f t="shared" si="107"/>
        <v>3075-331</v>
      </c>
      <c r="C926" s="307" t="s">
        <v>1852</v>
      </c>
      <c r="D926" s="308" t="s">
        <v>1853</v>
      </c>
      <c r="E926" s="308" t="s">
        <v>2119</v>
      </c>
      <c r="F926" s="307" t="s">
        <v>1880</v>
      </c>
      <c r="G926" s="327" t="s">
        <v>1881</v>
      </c>
      <c r="H926" s="310" t="s">
        <v>2120</v>
      </c>
      <c r="I926" s="308" t="s">
        <v>1858</v>
      </c>
      <c r="J926" s="308" t="s">
        <v>1859</v>
      </c>
      <c r="K926" s="308" t="s">
        <v>63</v>
      </c>
      <c r="L926" s="306" t="s">
        <v>1860</v>
      </c>
      <c r="M926" s="306" t="s">
        <v>59</v>
      </c>
      <c r="N926" s="306" t="s">
        <v>60</v>
      </c>
      <c r="O926" s="308" t="s">
        <v>1910</v>
      </c>
      <c r="P926" s="306" t="s">
        <v>2773</v>
      </c>
      <c r="Q926" s="315">
        <v>54686940</v>
      </c>
      <c r="R926" s="333">
        <v>1</v>
      </c>
      <c r="S926" s="312">
        <v>54686940</v>
      </c>
      <c r="T926" s="306"/>
      <c r="U926" s="306" t="s">
        <v>1876</v>
      </c>
      <c r="V926" s="313" t="s">
        <v>302</v>
      </c>
      <c r="W926" s="314" t="s">
        <v>63</v>
      </c>
      <c r="X926" s="329" t="s">
        <v>2774</v>
      </c>
      <c r="Y926" s="313">
        <v>43161</v>
      </c>
      <c r="Z926" s="315">
        <v>54686940</v>
      </c>
      <c r="AA926" s="316" t="s">
        <v>2402</v>
      </c>
      <c r="AB926" s="317">
        <v>679</v>
      </c>
      <c r="AC926" s="313">
        <v>43164</v>
      </c>
      <c r="AD926" s="312">
        <v>54686940</v>
      </c>
      <c r="AE926" s="318">
        <f t="shared" si="104"/>
        <v>0</v>
      </c>
      <c r="AF926" s="317">
        <v>1763</v>
      </c>
      <c r="AG926" s="313">
        <v>43201</v>
      </c>
      <c r="AH926" s="312">
        <v>54686940</v>
      </c>
      <c r="AI926" s="306" t="s">
        <v>2775</v>
      </c>
      <c r="AJ926" s="306">
        <v>1773</v>
      </c>
      <c r="AK926" s="318">
        <f t="shared" si="110"/>
        <v>0</v>
      </c>
      <c r="AL926" s="312">
        <f>VLOOKUP(AB926,RP,13,FALSE)</f>
        <v>54686940</v>
      </c>
      <c r="AM926" s="312">
        <f t="shared" si="108"/>
        <v>0</v>
      </c>
      <c r="AN926" s="306" t="s">
        <v>1863</v>
      </c>
      <c r="AO926" s="312">
        <f t="shared" si="109"/>
        <v>0</v>
      </c>
      <c r="AP926" s="306"/>
      <c r="AQ926" s="306"/>
      <c r="AR926" s="306"/>
      <c r="AS926" s="306"/>
      <c r="AT926" s="306"/>
    </row>
    <row r="927" spans="1:46" ht="102" x14ac:dyDescent="0.25">
      <c r="A927" s="306">
        <v>332</v>
      </c>
      <c r="B927" s="306" t="str">
        <f t="shared" si="107"/>
        <v>3075-332</v>
      </c>
      <c r="C927" s="307" t="s">
        <v>1852</v>
      </c>
      <c r="D927" s="308" t="s">
        <v>1853</v>
      </c>
      <c r="E927" s="307" t="s">
        <v>1870</v>
      </c>
      <c r="F927" s="307" t="s">
        <v>1871</v>
      </c>
      <c r="G927" s="309" t="s">
        <v>1872</v>
      </c>
      <c r="H927" s="310" t="s">
        <v>1873</v>
      </c>
      <c r="I927" s="308" t="s">
        <v>1858</v>
      </c>
      <c r="J927" s="308" t="s">
        <v>1859</v>
      </c>
      <c r="K927" s="308" t="s">
        <v>63</v>
      </c>
      <c r="L927" s="306" t="s">
        <v>1860</v>
      </c>
      <c r="M927" s="306" t="s">
        <v>59</v>
      </c>
      <c r="N927" s="306" t="s">
        <v>60</v>
      </c>
      <c r="O927" s="308" t="s">
        <v>1874</v>
      </c>
      <c r="P927" s="322" t="s">
        <v>2776</v>
      </c>
      <c r="Q927" s="311">
        <v>240679600</v>
      </c>
      <c r="R927" s="306">
        <v>1</v>
      </c>
      <c r="S927" s="312">
        <f>300000000-65920800-52944200+12438274+47106326</f>
        <v>240679600</v>
      </c>
      <c r="T927" s="306"/>
      <c r="U927" s="306" t="s">
        <v>1876</v>
      </c>
      <c r="V927" s="320" t="s">
        <v>302</v>
      </c>
      <c r="W927" s="314" t="s">
        <v>63</v>
      </c>
      <c r="X927" s="323" t="s">
        <v>2777</v>
      </c>
      <c r="Y927" s="321">
        <v>43209</v>
      </c>
      <c r="Z927" s="315">
        <v>240679600</v>
      </c>
      <c r="AA927" s="316" t="s">
        <v>2778</v>
      </c>
      <c r="AB927" s="317">
        <v>803</v>
      </c>
      <c r="AC927" s="313">
        <v>43210</v>
      </c>
      <c r="AD927" s="312">
        <v>240679600</v>
      </c>
      <c r="AE927" s="318">
        <f t="shared" si="104"/>
        <v>0</v>
      </c>
      <c r="AF927" s="317"/>
      <c r="AG927" s="313"/>
      <c r="AH927" s="312"/>
      <c r="AI927" s="306"/>
      <c r="AJ927" s="306"/>
      <c r="AK927" s="318">
        <f t="shared" si="110"/>
        <v>240679600</v>
      </c>
      <c r="AL927" s="312">
        <v>0</v>
      </c>
      <c r="AM927" s="312">
        <f t="shared" si="108"/>
        <v>0</v>
      </c>
      <c r="AN927" s="306" t="s">
        <v>1863</v>
      </c>
      <c r="AO927" s="312">
        <f t="shared" si="109"/>
        <v>240679600</v>
      </c>
      <c r="AP927" s="306" t="s">
        <v>2779</v>
      </c>
      <c r="AQ927" s="313">
        <v>43209</v>
      </c>
      <c r="AR927" s="306" t="s">
        <v>1878</v>
      </c>
      <c r="AS927" s="313">
        <v>43209</v>
      </c>
      <c r="AT927" s="306" t="s">
        <v>2776</v>
      </c>
    </row>
    <row r="928" spans="1:46" ht="63.75" x14ac:dyDescent="0.25">
      <c r="A928" s="306">
        <v>333</v>
      </c>
      <c r="B928" s="306" t="str">
        <f t="shared" si="107"/>
        <v>3075-333</v>
      </c>
      <c r="C928" s="307" t="s">
        <v>1852</v>
      </c>
      <c r="D928" s="308" t="s">
        <v>1853</v>
      </c>
      <c r="E928" s="307" t="s">
        <v>1870</v>
      </c>
      <c r="F928" s="307" t="s">
        <v>1871</v>
      </c>
      <c r="G928" s="309" t="s">
        <v>1872</v>
      </c>
      <c r="H928" s="310" t="s">
        <v>1873</v>
      </c>
      <c r="I928" s="308" t="s">
        <v>1858</v>
      </c>
      <c r="J928" s="308" t="s">
        <v>1859</v>
      </c>
      <c r="K928" s="308" t="s">
        <v>63</v>
      </c>
      <c r="L928" s="306" t="s">
        <v>1860</v>
      </c>
      <c r="M928" s="306" t="s">
        <v>59</v>
      </c>
      <c r="N928" s="306" t="s">
        <v>60</v>
      </c>
      <c r="O928" s="308" t="s">
        <v>1874</v>
      </c>
      <c r="P928" s="322" t="s">
        <v>3007</v>
      </c>
      <c r="Q928" s="311">
        <v>300000000</v>
      </c>
      <c r="R928" s="306">
        <v>1</v>
      </c>
      <c r="S928" s="312">
        <f>300000000-47106326-33401186</f>
        <v>219492488</v>
      </c>
      <c r="T928" s="306"/>
      <c r="U928" s="306" t="s">
        <v>1876</v>
      </c>
      <c r="V928" s="313" t="s">
        <v>1015</v>
      </c>
      <c r="W928" s="314" t="s">
        <v>63</v>
      </c>
      <c r="X928" s="323"/>
      <c r="Y928" s="321"/>
      <c r="Z928" s="315"/>
      <c r="AA928" s="316" t="s">
        <v>2442</v>
      </c>
      <c r="AB928" s="317"/>
      <c r="AC928" s="313"/>
      <c r="AD928" s="312"/>
      <c r="AE928" s="318">
        <f t="shared" si="104"/>
        <v>219492488</v>
      </c>
      <c r="AF928" s="317"/>
      <c r="AG928" s="313"/>
      <c r="AH928" s="312"/>
      <c r="AI928" s="306"/>
      <c r="AJ928" s="306"/>
      <c r="AK928" s="318">
        <f t="shared" si="110"/>
        <v>0</v>
      </c>
      <c r="AL928" s="312">
        <v>0</v>
      </c>
      <c r="AM928" s="312">
        <f t="shared" si="108"/>
        <v>0</v>
      </c>
      <c r="AN928" s="306" t="s">
        <v>1863</v>
      </c>
      <c r="AO928" s="312">
        <f t="shared" si="109"/>
        <v>219492488</v>
      </c>
      <c r="AP928" s="306" t="s">
        <v>2779</v>
      </c>
      <c r="AQ928" s="306"/>
      <c r="AR928" s="306" t="s">
        <v>2760</v>
      </c>
      <c r="AS928" s="306"/>
      <c r="AT928" s="306"/>
    </row>
    <row r="929" spans="1:46" ht="63.75" x14ac:dyDescent="0.25">
      <c r="A929" s="306">
        <v>334</v>
      </c>
      <c r="B929" s="306" t="str">
        <f t="shared" si="107"/>
        <v>3075-334</v>
      </c>
      <c r="C929" s="307" t="s">
        <v>1852</v>
      </c>
      <c r="D929" s="308" t="s">
        <v>1853</v>
      </c>
      <c r="E929" s="307" t="s">
        <v>1870</v>
      </c>
      <c r="F929" s="307" t="s">
        <v>1871</v>
      </c>
      <c r="G929" s="309" t="s">
        <v>1872</v>
      </c>
      <c r="H929" s="310" t="s">
        <v>1873</v>
      </c>
      <c r="I929" s="308" t="s">
        <v>1858</v>
      </c>
      <c r="J929" s="308" t="s">
        <v>1859</v>
      </c>
      <c r="K929" s="308" t="s">
        <v>63</v>
      </c>
      <c r="L929" s="306" t="s">
        <v>1860</v>
      </c>
      <c r="M929" s="306" t="s">
        <v>59</v>
      </c>
      <c r="N929" s="306" t="s">
        <v>60</v>
      </c>
      <c r="O929" s="308" t="s">
        <v>1874</v>
      </c>
      <c r="P929" s="322" t="s">
        <v>3007</v>
      </c>
      <c r="Q929" s="311">
        <v>300000000</v>
      </c>
      <c r="R929" s="306">
        <v>1</v>
      </c>
      <c r="S929" s="312">
        <v>300000000</v>
      </c>
      <c r="T929" s="306"/>
      <c r="U929" s="306" t="s">
        <v>1876</v>
      </c>
      <c r="V929" s="313" t="s">
        <v>836</v>
      </c>
      <c r="W929" s="314" t="s">
        <v>63</v>
      </c>
      <c r="X929" s="323"/>
      <c r="Y929" s="321"/>
      <c r="Z929" s="315"/>
      <c r="AA929" s="316" t="s">
        <v>2442</v>
      </c>
      <c r="AB929" s="317"/>
      <c r="AC929" s="313"/>
      <c r="AD929" s="312"/>
      <c r="AE929" s="318">
        <f t="shared" si="104"/>
        <v>300000000</v>
      </c>
      <c r="AF929" s="317"/>
      <c r="AG929" s="313"/>
      <c r="AH929" s="312"/>
      <c r="AI929" s="306"/>
      <c r="AJ929" s="306"/>
      <c r="AK929" s="318">
        <f t="shared" si="110"/>
        <v>0</v>
      </c>
      <c r="AL929" s="312">
        <v>0</v>
      </c>
      <c r="AM929" s="312">
        <f t="shared" si="108"/>
        <v>0</v>
      </c>
      <c r="AN929" s="306" t="s">
        <v>1863</v>
      </c>
      <c r="AO929" s="312">
        <f t="shared" si="109"/>
        <v>300000000</v>
      </c>
      <c r="AP929" s="306" t="s">
        <v>2779</v>
      </c>
      <c r="AQ929" s="306"/>
      <c r="AR929" s="306" t="s">
        <v>2760</v>
      </c>
      <c r="AS929" s="306"/>
      <c r="AT929" s="306"/>
    </row>
    <row r="930" spans="1:46" ht="63.75" x14ac:dyDescent="0.25">
      <c r="A930" s="306">
        <v>335</v>
      </c>
      <c r="B930" s="306" t="str">
        <f t="shared" si="107"/>
        <v>3075-335</v>
      </c>
      <c r="C930" s="307" t="s">
        <v>1852</v>
      </c>
      <c r="D930" s="308" t="s">
        <v>1853</v>
      </c>
      <c r="E930" s="307" t="s">
        <v>1870</v>
      </c>
      <c r="F930" s="307" t="s">
        <v>1871</v>
      </c>
      <c r="G930" s="309" t="s">
        <v>1872</v>
      </c>
      <c r="H930" s="310" t="s">
        <v>1873</v>
      </c>
      <c r="I930" s="308" t="s">
        <v>1858</v>
      </c>
      <c r="J930" s="308" t="s">
        <v>1859</v>
      </c>
      <c r="K930" s="308" t="s">
        <v>63</v>
      </c>
      <c r="L930" s="306" t="s">
        <v>1860</v>
      </c>
      <c r="M930" s="306" t="s">
        <v>59</v>
      </c>
      <c r="N930" s="306" t="s">
        <v>60</v>
      </c>
      <c r="O930" s="308" t="s">
        <v>1874</v>
      </c>
      <c r="P930" s="322" t="s">
        <v>3007</v>
      </c>
      <c r="Q930" s="311">
        <v>300000000</v>
      </c>
      <c r="R930" s="306">
        <v>1</v>
      </c>
      <c r="S930" s="312">
        <v>300000000</v>
      </c>
      <c r="T930" s="306"/>
      <c r="U930" s="306" t="s">
        <v>1876</v>
      </c>
      <c r="V930" s="313" t="s">
        <v>943</v>
      </c>
      <c r="W930" s="314" t="s">
        <v>63</v>
      </c>
      <c r="X930" s="323"/>
      <c r="Y930" s="321"/>
      <c r="Z930" s="315"/>
      <c r="AA930" s="316" t="s">
        <v>2442</v>
      </c>
      <c r="AB930" s="317"/>
      <c r="AC930" s="313"/>
      <c r="AD930" s="312"/>
      <c r="AE930" s="318">
        <f t="shared" si="104"/>
        <v>300000000</v>
      </c>
      <c r="AF930" s="317"/>
      <c r="AG930" s="313"/>
      <c r="AH930" s="312"/>
      <c r="AI930" s="306"/>
      <c r="AJ930" s="306"/>
      <c r="AK930" s="318">
        <f t="shared" si="110"/>
        <v>0</v>
      </c>
      <c r="AL930" s="312">
        <v>0</v>
      </c>
      <c r="AM930" s="312">
        <f t="shared" si="108"/>
        <v>0</v>
      </c>
      <c r="AN930" s="306" t="s">
        <v>1863</v>
      </c>
      <c r="AO930" s="312">
        <f t="shared" si="109"/>
        <v>300000000</v>
      </c>
      <c r="AP930" s="306" t="s">
        <v>2779</v>
      </c>
      <c r="AQ930" s="306"/>
      <c r="AR930" s="306" t="s">
        <v>2760</v>
      </c>
      <c r="AS930" s="306"/>
      <c r="AT930" s="306"/>
    </row>
    <row r="931" spans="1:46" ht="63.75" x14ac:dyDescent="0.25">
      <c r="A931" s="306">
        <v>336</v>
      </c>
      <c r="B931" s="306" t="str">
        <f t="shared" si="107"/>
        <v>3075-336</v>
      </c>
      <c r="C931" s="307" t="s">
        <v>1852</v>
      </c>
      <c r="D931" s="308" t="s">
        <v>1853</v>
      </c>
      <c r="E931" s="307" t="s">
        <v>1870</v>
      </c>
      <c r="F931" s="307" t="s">
        <v>1871</v>
      </c>
      <c r="G931" s="309" t="s">
        <v>1872</v>
      </c>
      <c r="H931" s="310" t="s">
        <v>1873</v>
      </c>
      <c r="I931" s="308" t="s">
        <v>1858</v>
      </c>
      <c r="J931" s="308" t="s">
        <v>1859</v>
      </c>
      <c r="K931" s="308" t="s">
        <v>63</v>
      </c>
      <c r="L931" s="306" t="s">
        <v>1860</v>
      </c>
      <c r="M931" s="306" t="s">
        <v>59</v>
      </c>
      <c r="N931" s="306" t="s">
        <v>60</v>
      </c>
      <c r="O931" s="308" t="s">
        <v>1874</v>
      </c>
      <c r="P931" s="322" t="s">
        <v>3007</v>
      </c>
      <c r="Q931" s="311">
        <v>300000000</v>
      </c>
      <c r="R931" s="306">
        <v>1</v>
      </c>
      <c r="S931" s="312">
        <v>300000000</v>
      </c>
      <c r="T931" s="306"/>
      <c r="U931" s="306" t="s">
        <v>1876</v>
      </c>
      <c r="V931" s="313" t="s">
        <v>304</v>
      </c>
      <c r="W931" s="314" t="s">
        <v>63</v>
      </c>
      <c r="X931" s="323"/>
      <c r="Y931" s="321"/>
      <c r="Z931" s="315"/>
      <c r="AA931" s="316" t="s">
        <v>2442</v>
      </c>
      <c r="AB931" s="317"/>
      <c r="AC931" s="313"/>
      <c r="AD931" s="312"/>
      <c r="AE931" s="318">
        <f t="shared" si="104"/>
        <v>300000000</v>
      </c>
      <c r="AF931" s="317"/>
      <c r="AG931" s="313"/>
      <c r="AH931" s="312"/>
      <c r="AI931" s="306"/>
      <c r="AJ931" s="306"/>
      <c r="AK931" s="318">
        <f t="shared" si="110"/>
        <v>0</v>
      </c>
      <c r="AL931" s="312">
        <v>0</v>
      </c>
      <c r="AM931" s="312">
        <f t="shared" si="108"/>
        <v>0</v>
      </c>
      <c r="AN931" s="306" t="s">
        <v>1863</v>
      </c>
      <c r="AO931" s="312">
        <f t="shared" si="109"/>
        <v>300000000</v>
      </c>
      <c r="AP931" s="306" t="s">
        <v>2779</v>
      </c>
      <c r="AQ931" s="306"/>
      <c r="AR931" s="306" t="s">
        <v>2760</v>
      </c>
      <c r="AS931" s="306"/>
      <c r="AT931" s="306"/>
    </row>
    <row r="932" spans="1:46" ht="63.75" x14ac:dyDescent="0.25">
      <c r="A932" s="306">
        <v>337</v>
      </c>
      <c r="B932" s="306" t="str">
        <f t="shared" si="107"/>
        <v>3075-337</v>
      </c>
      <c r="C932" s="307" t="s">
        <v>1852</v>
      </c>
      <c r="D932" s="308" t="s">
        <v>1853</v>
      </c>
      <c r="E932" s="307" t="s">
        <v>1870</v>
      </c>
      <c r="F932" s="307" t="s">
        <v>1871</v>
      </c>
      <c r="G932" s="309" t="s">
        <v>1872</v>
      </c>
      <c r="H932" s="310" t="s">
        <v>1873</v>
      </c>
      <c r="I932" s="308" t="s">
        <v>1858</v>
      </c>
      <c r="J932" s="308" t="s">
        <v>1859</v>
      </c>
      <c r="K932" s="308" t="s">
        <v>63</v>
      </c>
      <c r="L932" s="306" t="s">
        <v>1860</v>
      </c>
      <c r="M932" s="306" t="s">
        <v>59</v>
      </c>
      <c r="N932" s="306" t="s">
        <v>60</v>
      </c>
      <c r="O932" s="308" t="s">
        <v>1874</v>
      </c>
      <c r="P932" s="322" t="s">
        <v>3007</v>
      </c>
      <c r="Q932" s="311">
        <v>300000000</v>
      </c>
      <c r="R932" s="306">
        <v>1</v>
      </c>
      <c r="S932" s="312">
        <v>262497800</v>
      </c>
      <c r="T932" s="306"/>
      <c r="U932" s="306" t="s">
        <v>1876</v>
      </c>
      <c r="V932" s="313" t="s">
        <v>1012</v>
      </c>
      <c r="W932" s="314" t="s">
        <v>63</v>
      </c>
      <c r="X932" s="323"/>
      <c r="Y932" s="321"/>
      <c r="Z932" s="315"/>
      <c r="AA932" s="316" t="s">
        <v>2442</v>
      </c>
      <c r="AB932" s="317"/>
      <c r="AC932" s="313"/>
      <c r="AD932" s="312"/>
      <c r="AE932" s="318">
        <f t="shared" si="104"/>
        <v>262497800</v>
      </c>
      <c r="AF932" s="317"/>
      <c r="AG932" s="313"/>
      <c r="AH932" s="312"/>
      <c r="AI932" s="306"/>
      <c r="AJ932" s="306"/>
      <c r="AK932" s="318">
        <f t="shared" si="110"/>
        <v>0</v>
      </c>
      <c r="AL932" s="312">
        <v>0</v>
      </c>
      <c r="AM932" s="312">
        <f t="shared" si="108"/>
        <v>0</v>
      </c>
      <c r="AN932" s="306" t="s">
        <v>1863</v>
      </c>
      <c r="AO932" s="312">
        <f t="shared" si="109"/>
        <v>262497800</v>
      </c>
      <c r="AP932" s="306" t="s">
        <v>2779</v>
      </c>
      <c r="AQ932" s="306"/>
      <c r="AR932" s="306" t="s">
        <v>2760</v>
      </c>
      <c r="AS932" s="306"/>
      <c r="AT932" s="306"/>
    </row>
    <row r="933" spans="1:46" ht="89.25" x14ac:dyDescent="0.25">
      <c r="A933" s="306">
        <v>338</v>
      </c>
      <c r="B933" s="306" t="str">
        <f t="shared" si="107"/>
        <v>3075-338</v>
      </c>
      <c r="C933" s="307" t="s">
        <v>1852</v>
      </c>
      <c r="D933" s="308" t="s">
        <v>1853</v>
      </c>
      <c r="E933" s="308" t="s">
        <v>1879</v>
      </c>
      <c r="F933" s="307" t="s">
        <v>1880</v>
      </c>
      <c r="G933" s="309" t="s">
        <v>1881</v>
      </c>
      <c r="H933" s="310" t="s">
        <v>1882</v>
      </c>
      <c r="I933" s="308" t="s">
        <v>1858</v>
      </c>
      <c r="J933" s="308" t="s">
        <v>1883</v>
      </c>
      <c r="K933" s="308" t="s">
        <v>63</v>
      </c>
      <c r="L933" s="306" t="s">
        <v>1860</v>
      </c>
      <c r="M933" s="306" t="s">
        <v>59</v>
      </c>
      <c r="N933" s="306" t="s">
        <v>60</v>
      </c>
      <c r="O933" s="308" t="s">
        <v>1874</v>
      </c>
      <c r="P933" s="308" t="s">
        <v>1893</v>
      </c>
      <c r="Q933" s="311">
        <v>252845918</v>
      </c>
      <c r="R933" s="306">
        <v>1</v>
      </c>
      <c r="S933" s="312">
        <v>325056000</v>
      </c>
      <c r="T933" s="306"/>
      <c r="U933" s="306" t="s">
        <v>1876</v>
      </c>
      <c r="V933" s="313" t="s">
        <v>2780</v>
      </c>
      <c r="W933" s="314" t="s">
        <v>63</v>
      </c>
      <c r="X933" s="323"/>
      <c r="Y933" s="321"/>
      <c r="Z933" s="315"/>
      <c r="AA933" s="316" t="s">
        <v>2680</v>
      </c>
      <c r="AB933" s="317"/>
      <c r="AC933" s="313"/>
      <c r="AD933" s="312"/>
      <c r="AE933" s="318">
        <f t="shared" si="104"/>
        <v>325056000</v>
      </c>
      <c r="AF933" s="317"/>
      <c r="AG933" s="313"/>
      <c r="AH933" s="312"/>
      <c r="AI933" s="306"/>
      <c r="AJ933" s="306"/>
      <c r="AK933" s="318">
        <f t="shared" si="110"/>
        <v>0</v>
      </c>
      <c r="AL933" s="312">
        <v>0</v>
      </c>
      <c r="AM933" s="312">
        <f t="shared" si="108"/>
        <v>0</v>
      </c>
      <c r="AN933" s="306" t="s">
        <v>1863</v>
      </c>
      <c r="AO933" s="312">
        <f t="shared" si="109"/>
        <v>325056000</v>
      </c>
      <c r="AP933" s="306" t="s">
        <v>2779</v>
      </c>
      <c r="AQ933" s="306"/>
      <c r="AR933" s="306" t="s">
        <v>2760</v>
      </c>
      <c r="AS933" s="306"/>
      <c r="AT933" s="306"/>
    </row>
    <row r="934" spans="1:46" ht="76.5" x14ac:dyDescent="0.25">
      <c r="A934" s="337">
        <v>339</v>
      </c>
      <c r="B934" s="337" t="str">
        <f t="shared" si="107"/>
        <v>3075-339</v>
      </c>
      <c r="C934" s="338" t="s">
        <v>1852</v>
      </c>
      <c r="D934" s="339" t="s">
        <v>1853</v>
      </c>
      <c r="E934" s="339" t="s">
        <v>1879</v>
      </c>
      <c r="F934" s="338" t="s">
        <v>1880</v>
      </c>
      <c r="G934" s="340" t="s">
        <v>1881</v>
      </c>
      <c r="H934" s="341" t="s">
        <v>1882</v>
      </c>
      <c r="I934" s="339" t="s">
        <v>1858</v>
      </c>
      <c r="J934" s="339" t="s">
        <v>1888</v>
      </c>
      <c r="K934" s="339" t="s">
        <v>63</v>
      </c>
      <c r="L934" s="337" t="s">
        <v>1860</v>
      </c>
      <c r="M934" s="337" t="s">
        <v>59</v>
      </c>
      <c r="N934" s="337" t="s">
        <v>60</v>
      </c>
      <c r="O934" s="339" t="s">
        <v>1874</v>
      </c>
      <c r="P934" s="339" t="s">
        <v>2781</v>
      </c>
      <c r="Q934" s="342">
        <v>0</v>
      </c>
      <c r="R934" s="337">
        <v>1</v>
      </c>
      <c r="S934" s="343">
        <f>322658000-7106185-69667715-39062100-62779330-39062100-34911092-31007378</f>
        <v>39062100</v>
      </c>
      <c r="T934" s="337"/>
      <c r="U934" s="337" t="s">
        <v>1876</v>
      </c>
      <c r="V934" s="344" t="s">
        <v>1015</v>
      </c>
      <c r="W934" s="345" t="s">
        <v>63</v>
      </c>
      <c r="X934" s="337" t="s">
        <v>2782</v>
      </c>
      <c r="Y934" s="346">
        <v>43224</v>
      </c>
      <c r="Z934" s="347">
        <v>39062100</v>
      </c>
      <c r="AA934" s="348" t="s">
        <v>2783</v>
      </c>
      <c r="AB934" s="349"/>
      <c r="AC934" s="344"/>
      <c r="AD934" s="343"/>
      <c r="AE934" s="350">
        <f t="shared" si="104"/>
        <v>0</v>
      </c>
      <c r="AF934" s="349"/>
      <c r="AG934" s="344"/>
      <c r="AH934" s="343"/>
      <c r="AI934" s="337"/>
      <c r="AJ934" s="337"/>
      <c r="AK934" s="350">
        <f t="shared" si="110"/>
        <v>0</v>
      </c>
      <c r="AL934" s="343">
        <v>0</v>
      </c>
      <c r="AM934" s="343">
        <f t="shared" si="108"/>
        <v>0</v>
      </c>
      <c r="AN934" s="337" t="s">
        <v>1863</v>
      </c>
      <c r="AO934" s="343">
        <f t="shared" si="109"/>
        <v>39062100</v>
      </c>
      <c r="AP934" s="337" t="s">
        <v>2779</v>
      </c>
      <c r="AQ934" s="344">
        <v>43224</v>
      </c>
      <c r="AR934" s="337" t="s">
        <v>1878</v>
      </c>
      <c r="AS934" s="344">
        <v>43224</v>
      </c>
      <c r="AT934" s="337"/>
    </row>
    <row r="935" spans="1:46" ht="63.75" x14ac:dyDescent="0.25">
      <c r="A935" s="337">
        <v>340</v>
      </c>
      <c r="B935" s="337" t="str">
        <f t="shared" si="107"/>
        <v>3075-340</v>
      </c>
      <c r="C935" s="338" t="s">
        <v>1852</v>
      </c>
      <c r="D935" s="339" t="s">
        <v>1853</v>
      </c>
      <c r="E935" s="339" t="s">
        <v>1879</v>
      </c>
      <c r="F935" s="338" t="s">
        <v>1880</v>
      </c>
      <c r="G935" s="340" t="s">
        <v>1881</v>
      </c>
      <c r="H935" s="341" t="s">
        <v>1882</v>
      </c>
      <c r="I935" s="339" t="s">
        <v>1858</v>
      </c>
      <c r="J935" s="339" t="s">
        <v>1888</v>
      </c>
      <c r="K935" s="339" t="s">
        <v>63</v>
      </c>
      <c r="L935" s="337" t="s">
        <v>1860</v>
      </c>
      <c r="M935" s="337" t="s">
        <v>59</v>
      </c>
      <c r="N935" s="337" t="s">
        <v>60</v>
      </c>
      <c r="O935" s="339" t="s">
        <v>1874</v>
      </c>
      <c r="P935" s="339" t="s">
        <v>1893</v>
      </c>
      <c r="Q935" s="343">
        <f>161329000-8054722</f>
        <v>153274278</v>
      </c>
      <c r="R935" s="337">
        <v>1</v>
      </c>
      <c r="S935" s="343">
        <f>161329000-8054722</f>
        <v>153274278</v>
      </c>
      <c r="T935" s="337"/>
      <c r="U935" s="337" t="s">
        <v>1876</v>
      </c>
      <c r="V935" s="344" t="s">
        <v>836</v>
      </c>
      <c r="W935" s="345" t="s">
        <v>63</v>
      </c>
      <c r="X935" s="337"/>
      <c r="Y935" s="346"/>
      <c r="Z935" s="347"/>
      <c r="AA935" s="348" t="s">
        <v>2783</v>
      </c>
      <c r="AB935" s="349"/>
      <c r="AC935" s="344"/>
      <c r="AD935" s="343"/>
      <c r="AE935" s="350">
        <f t="shared" si="104"/>
        <v>153274278</v>
      </c>
      <c r="AF935" s="349"/>
      <c r="AG935" s="344"/>
      <c r="AH935" s="343"/>
      <c r="AI935" s="337"/>
      <c r="AJ935" s="337"/>
      <c r="AK935" s="350">
        <f t="shared" si="110"/>
        <v>0</v>
      </c>
      <c r="AL935" s="343">
        <v>0</v>
      </c>
      <c r="AM935" s="343">
        <f t="shared" si="108"/>
        <v>0</v>
      </c>
      <c r="AN935" s="337" t="s">
        <v>1863</v>
      </c>
      <c r="AO935" s="343">
        <f t="shared" si="109"/>
        <v>153274278</v>
      </c>
      <c r="AP935" s="337" t="s">
        <v>2779</v>
      </c>
      <c r="AQ935" s="337" t="s">
        <v>2784</v>
      </c>
      <c r="AR935" s="337" t="s">
        <v>2760</v>
      </c>
      <c r="AS935" s="337" t="s">
        <v>2785</v>
      </c>
      <c r="AT935" s="337"/>
    </row>
    <row r="936" spans="1:46" ht="89.25" x14ac:dyDescent="0.25">
      <c r="A936" s="337">
        <v>341</v>
      </c>
      <c r="B936" s="337" t="str">
        <f t="shared" si="107"/>
        <v>3075-341</v>
      </c>
      <c r="C936" s="338" t="s">
        <v>1852</v>
      </c>
      <c r="D936" s="339" t="s">
        <v>1853</v>
      </c>
      <c r="E936" s="339" t="s">
        <v>1879</v>
      </c>
      <c r="F936" s="338" t="s">
        <v>1880</v>
      </c>
      <c r="G936" s="340" t="s">
        <v>1881</v>
      </c>
      <c r="H936" s="341" t="s">
        <v>1882</v>
      </c>
      <c r="I936" s="339" t="s">
        <v>1858</v>
      </c>
      <c r="J936" s="339" t="s">
        <v>1888</v>
      </c>
      <c r="K936" s="339" t="s">
        <v>63</v>
      </c>
      <c r="L936" s="337" t="s">
        <v>1860</v>
      </c>
      <c r="M936" s="337" t="s">
        <v>59</v>
      </c>
      <c r="N936" s="337" t="s">
        <v>60</v>
      </c>
      <c r="O936" s="339" t="s">
        <v>1874</v>
      </c>
      <c r="P936" s="339" t="s">
        <v>1893</v>
      </c>
      <c r="Q936" s="342">
        <v>5944796000</v>
      </c>
      <c r="R936" s="337">
        <v>1</v>
      </c>
      <c r="S936" s="343">
        <v>5944796000</v>
      </c>
      <c r="T936" s="337"/>
      <c r="U936" s="337" t="s">
        <v>1876</v>
      </c>
      <c r="V936" s="344" t="s">
        <v>2780</v>
      </c>
      <c r="W936" s="345" t="s">
        <v>63</v>
      </c>
      <c r="X936" s="337"/>
      <c r="Y936" s="346"/>
      <c r="Z936" s="347"/>
      <c r="AA936" s="348" t="s">
        <v>2783</v>
      </c>
      <c r="AB936" s="349"/>
      <c r="AC936" s="344"/>
      <c r="AD936" s="343"/>
      <c r="AE936" s="350">
        <f t="shared" si="104"/>
        <v>5944796000</v>
      </c>
      <c r="AF936" s="349"/>
      <c r="AG936" s="344"/>
      <c r="AH936" s="343"/>
      <c r="AI936" s="337"/>
      <c r="AJ936" s="337"/>
      <c r="AK936" s="350">
        <f t="shared" si="110"/>
        <v>0</v>
      </c>
      <c r="AL936" s="343">
        <v>0</v>
      </c>
      <c r="AM936" s="343">
        <f t="shared" si="108"/>
        <v>0</v>
      </c>
      <c r="AN936" s="337" t="s">
        <v>1863</v>
      </c>
      <c r="AO936" s="343">
        <f t="shared" si="109"/>
        <v>5944796000</v>
      </c>
      <c r="AP936" s="337" t="s">
        <v>2779</v>
      </c>
      <c r="AQ936" s="337"/>
      <c r="AR936" s="337" t="s">
        <v>2760</v>
      </c>
      <c r="AS936" s="337"/>
      <c r="AT936" s="337"/>
    </row>
    <row r="937" spans="1:46" ht="63.75" x14ac:dyDescent="0.25">
      <c r="A937" s="337">
        <v>342</v>
      </c>
      <c r="B937" s="337" t="str">
        <f t="shared" si="107"/>
        <v>3075-342</v>
      </c>
      <c r="C937" s="338" t="s">
        <v>1852</v>
      </c>
      <c r="D937" s="339" t="s">
        <v>1853</v>
      </c>
      <c r="E937" s="339" t="s">
        <v>1879</v>
      </c>
      <c r="F937" s="338" t="s">
        <v>1880</v>
      </c>
      <c r="G937" s="340" t="s">
        <v>1881</v>
      </c>
      <c r="H937" s="341" t="s">
        <v>1882</v>
      </c>
      <c r="I937" s="339" t="s">
        <v>1858</v>
      </c>
      <c r="J937" s="339" t="s">
        <v>1859</v>
      </c>
      <c r="K937" s="339" t="s">
        <v>63</v>
      </c>
      <c r="L937" s="337" t="s">
        <v>1860</v>
      </c>
      <c r="M937" s="337" t="s">
        <v>59</v>
      </c>
      <c r="N937" s="337" t="s">
        <v>60</v>
      </c>
      <c r="O937" s="339" t="s">
        <v>1874</v>
      </c>
      <c r="P937" s="339" t="s">
        <v>1893</v>
      </c>
      <c r="Q937" s="342">
        <v>161329000</v>
      </c>
      <c r="R937" s="337">
        <v>1</v>
      </c>
      <c r="S937" s="343">
        <f>161329000-54686940-54686940</f>
        <v>51955120</v>
      </c>
      <c r="T937" s="337"/>
      <c r="U937" s="337" t="s">
        <v>1876</v>
      </c>
      <c r="V937" s="344" t="s">
        <v>304</v>
      </c>
      <c r="W937" s="345" t="s">
        <v>63</v>
      </c>
      <c r="X937" s="337"/>
      <c r="Y937" s="344"/>
      <c r="Z937" s="347"/>
      <c r="AA937" s="348" t="s">
        <v>2446</v>
      </c>
      <c r="AB937" s="349"/>
      <c r="AC937" s="344"/>
      <c r="AD937" s="343"/>
      <c r="AE937" s="350">
        <f t="shared" si="104"/>
        <v>51955120</v>
      </c>
      <c r="AF937" s="349"/>
      <c r="AG937" s="344"/>
      <c r="AH937" s="343"/>
      <c r="AI937" s="337"/>
      <c r="AJ937" s="337"/>
      <c r="AK937" s="350">
        <f t="shared" si="110"/>
        <v>0</v>
      </c>
      <c r="AL937" s="343">
        <v>0</v>
      </c>
      <c r="AM937" s="343">
        <f t="shared" si="108"/>
        <v>0</v>
      </c>
      <c r="AN937" s="337" t="s">
        <v>1863</v>
      </c>
      <c r="AO937" s="343">
        <f t="shared" si="109"/>
        <v>51955120</v>
      </c>
      <c r="AP937" s="337" t="s">
        <v>2779</v>
      </c>
      <c r="AQ937" s="337"/>
      <c r="AR937" s="337" t="s">
        <v>2760</v>
      </c>
      <c r="AS937" s="337"/>
      <c r="AT937" s="337"/>
    </row>
    <row r="938" spans="1:46" ht="63.75" x14ac:dyDescent="0.25">
      <c r="A938" s="337">
        <v>343</v>
      </c>
      <c r="B938" s="337" t="str">
        <f t="shared" si="107"/>
        <v>3075-343</v>
      </c>
      <c r="C938" s="338" t="s">
        <v>1852</v>
      </c>
      <c r="D938" s="339" t="s">
        <v>1853</v>
      </c>
      <c r="E938" s="339" t="s">
        <v>1879</v>
      </c>
      <c r="F938" s="338" t="s">
        <v>1880</v>
      </c>
      <c r="G938" s="340" t="s">
        <v>1881</v>
      </c>
      <c r="H938" s="341" t="s">
        <v>1882</v>
      </c>
      <c r="I938" s="339" t="s">
        <v>1858</v>
      </c>
      <c r="J938" s="339" t="s">
        <v>1859</v>
      </c>
      <c r="K938" s="339" t="s">
        <v>63</v>
      </c>
      <c r="L938" s="337" t="s">
        <v>1860</v>
      </c>
      <c r="M938" s="337" t="s">
        <v>59</v>
      </c>
      <c r="N938" s="337" t="s">
        <v>60</v>
      </c>
      <c r="O938" s="339" t="s">
        <v>1874</v>
      </c>
      <c r="P938" s="339" t="s">
        <v>1893</v>
      </c>
      <c r="Q938" s="343">
        <f>161329000-54686940</f>
        <v>106642060</v>
      </c>
      <c r="R938" s="337">
        <v>1</v>
      </c>
      <c r="S938" s="343">
        <f>161329000-54686940</f>
        <v>106642060</v>
      </c>
      <c r="T938" s="337"/>
      <c r="U938" s="337" t="s">
        <v>1876</v>
      </c>
      <c r="V938" s="344" t="s">
        <v>1012</v>
      </c>
      <c r="W938" s="345" t="s">
        <v>63</v>
      </c>
      <c r="X938" s="337"/>
      <c r="Y938" s="344"/>
      <c r="Z938" s="347"/>
      <c r="AA938" s="348" t="s">
        <v>2446</v>
      </c>
      <c r="AB938" s="349"/>
      <c r="AC938" s="344"/>
      <c r="AD938" s="343"/>
      <c r="AE938" s="350">
        <f t="shared" si="104"/>
        <v>106642060</v>
      </c>
      <c r="AF938" s="349"/>
      <c r="AG938" s="344"/>
      <c r="AH938" s="343"/>
      <c r="AI938" s="337"/>
      <c r="AJ938" s="337"/>
      <c r="AK938" s="350">
        <f t="shared" si="110"/>
        <v>0</v>
      </c>
      <c r="AL938" s="343">
        <v>0</v>
      </c>
      <c r="AM938" s="343">
        <f t="shared" si="108"/>
        <v>0</v>
      </c>
      <c r="AN938" s="337" t="s">
        <v>1863</v>
      </c>
      <c r="AO938" s="343">
        <f t="shared" si="109"/>
        <v>106642060</v>
      </c>
      <c r="AP938" s="337" t="s">
        <v>2779</v>
      </c>
      <c r="AQ938" s="337" t="s">
        <v>2786</v>
      </c>
      <c r="AR938" s="337" t="s">
        <v>2760</v>
      </c>
      <c r="AS938" s="337" t="s">
        <v>2785</v>
      </c>
      <c r="AT938" s="337"/>
    </row>
    <row r="939" spans="1:46" ht="63.75" x14ac:dyDescent="0.25">
      <c r="A939" s="306">
        <v>344</v>
      </c>
      <c r="B939" s="306" t="str">
        <f t="shared" si="107"/>
        <v>3075-344</v>
      </c>
      <c r="C939" s="307" t="s">
        <v>1852</v>
      </c>
      <c r="D939" s="308" t="s">
        <v>1853</v>
      </c>
      <c r="E939" s="308" t="s">
        <v>1879</v>
      </c>
      <c r="F939" s="307" t="s">
        <v>1880</v>
      </c>
      <c r="G939" s="309" t="s">
        <v>1881</v>
      </c>
      <c r="H939" s="310" t="s">
        <v>1882</v>
      </c>
      <c r="I939" s="308" t="s">
        <v>1858</v>
      </c>
      <c r="J939" s="308" t="s">
        <v>1859</v>
      </c>
      <c r="K939" s="308" t="s">
        <v>63</v>
      </c>
      <c r="L939" s="306" t="s">
        <v>1860</v>
      </c>
      <c r="M939" s="306" t="s">
        <v>59</v>
      </c>
      <c r="N939" s="306" t="s">
        <v>60</v>
      </c>
      <c r="O939" s="308" t="s">
        <v>1874</v>
      </c>
      <c r="P939" s="308" t="s">
        <v>1893</v>
      </c>
      <c r="Q939" s="311">
        <v>161329000</v>
      </c>
      <c r="R939" s="306">
        <v>1</v>
      </c>
      <c r="S939" s="312">
        <v>161329000</v>
      </c>
      <c r="T939" s="306"/>
      <c r="U939" s="306" t="s">
        <v>1876</v>
      </c>
      <c r="V939" s="313" t="s">
        <v>2787</v>
      </c>
      <c r="W939" s="314" t="s">
        <v>63</v>
      </c>
      <c r="X939" s="306"/>
      <c r="Y939" s="313"/>
      <c r="Z939" s="315"/>
      <c r="AA939" s="316" t="s">
        <v>2446</v>
      </c>
      <c r="AB939" s="317"/>
      <c r="AC939" s="313"/>
      <c r="AD939" s="312"/>
      <c r="AE939" s="318">
        <f t="shared" si="104"/>
        <v>161329000</v>
      </c>
      <c r="AF939" s="317"/>
      <c r="AG939" s="313"/>
      <c r="AH939" s="312"/>
      <c r="AI939" s="306"/>
      <c r="AJ939" s="306"/>
      <c r="AK939" s="318">
        <f t="shared" si="110"/>
        <v>0</v>
      </c>
      <c r="AL939" s="312">
        <v>0</v>
      </c>
      <c r="AM939" s="312">
        <f t="shared" si="108"/>
        <v>0</v>
      </c>
      <c r="AN939" s="306" t="s">
        <v>1863</v>
      </c>
      <c r="AO939" s="312">
        <f t="shared" si="109"/>
        <v>161329000</v>
      </c>
      <c r="AP939" s="306" t="s">
        <v>2779</v>
      </c>
      <c r="AQ939" s="306"/>
      <c r="AR939" s="306" t="s">
        <v>2760</v>
      </c>
      <c r="AS939" s="306"/>
      <c r="AT939" s="306"/>
    </row>
    <row r="940" spans="1:46" ht="63.75" x14ac:dyDescent="0.25">
      <c r="A940" s="306">
        <v>345</v>
      </c>
      <c r="B940" s="306" t="str">
        <f t="shared" si="107"/>
        <v>3075-345</v>
      </c>
      <c r="C940" s="307" t="s">
        <v>1852</v>
      </c>
      <c r="D940" s="308" t="s">
        <v>1853</v>
      </c>
      <c r="E940" s="308" t="s">
        <v>1879</v>
      </c>
      <c r="F940" s="307" t="s">
        <v>1880</v>
      </c>
      <c r="G940" s="309" t="s">
        <v>1881</v>
      </c>
      <c r="H940" s="310" t="s">
        <v>1882</v>
      </c>
      <c r="I940" s="308" t="s">
        <v>1858</v>
      </c>
      <c r="J940" s="308" t="s">
        <v>1859</v>
      </c>
      <c r="K940" s="308" t="s">
        <v>63</v>
      </c>
      <c r="L940" s="306" t="s">
        <v>1860</v>
      </c>
      <c r="M940" s="306" t="s">
        <v>59</v>
      </c>
      <c r="N940" s="306" t="s">
        <v>60</v>
      </c>
      <c r="O940" s="308" t="s">
        <v>1874</v>
      </c>
      <c r="P940" s="308" t="s">
        <v>1893</v>
      </c>
      <c r="Q940" s="311">
        <v>161329000</v>
      </c>
      <c r="R940" s="306">
        <v>1</v>
      </c>
      <c r="S940" s="312">
        <v>161329000</v>
      </c>
      <c r="T940" s="306"/>
      <c r="U940" s="306" t="s">
        <v>1876</v>
      </c>
      <c r="V940" s="313" t="s">
        <v>2788</v>
      </c>
      <c r="W940" s="314" t="s">
        <v>63</v>
      </c>
      <c r="X940" s="306"/>
      <c r="Y940" s="313"/>
      <c r="Z940" s="315"/>
      <c r="AA940" s="316" t="s">
        <v>2446</v>
      </c>
      <c r="AB940" s="317"/>
      <c r="AC940" s="313"/>
      <c r="AD940" s="312"/>
      <c r="AE940" s="318">
        <f t="shared" si="104"/>
        <v>161329000</v>
      </c>
      <c r="AF940" s="317"/>
      <c r="AG940" s="313"/>
      <c r="AH940" s="312"/>
      <c r="AI940" s="306"/>
      <c r="AJ940" s="306"/>
      <c r="AK940" s="318">
        <f t="shared" si="110"/>
        <v>0</v>
      </c>
      <c r="AL940" s="312">
        <v>0</v>
      </c>
      <c r="AM940" s="312">
        <f t="shared" si="108"/>
        <v>0</v>
      </c>
      <c r="AN940" s="306" t="s">
        <v>1863</v>
      </c>
      <c r="AO940" s="312">
        <f t="shared" si="109"/>
        <v>161329000</v>
      </c>
      <c r="AP940" s="306" t="s">
        <v>2779</v>
      </c>
      <c r="AQ940" s="306"/>
      <c r="AR940" s="306" t="s">
        <v>2760</v>
      </c>
      <c r="AS940" s="306"/>
      <c r="AT940" s="306"/>
    </row>
    <row r="941" spans="1:46" ht="63.75" x14ac:dyDescent="0.25">
      <c r="A941" s="306">
        <v>346</v>
      </c>
      <c r="B941" s="306" t="str">
        <f t="shared" si="107"/>
        <v>3075-346</v>
      </c>
      <c r="C941" s="307" t="s">
        <v>1852</v>
      </c>
      <c r="D941" s="308" t="s">
        <v>1853</v>
      </c>
      <c r="E941" s="308" t="s">
        <v>1879</v>
      </c>
      <c r="F941" s="307" t="s">
        <v>1880</v>
      </c>
      <c r="G941" s="309" t="s">
        <v>1881</v>
      </c>
      <c r="H941" s="310" t="s">
        <v>1882</v>
      </c>
      <c r="I941" s="308" t="s">
        <v>1858</v>
      </c>
      <c r="J941" s="308" t="s">
        <v>1859</v>
      </c>
      <c r="K941" s="308" t="s">
        <v>63</v>
      </c>
      <c r="L941" s="306" t="s">
        <v>1860</v>
      </c>
      <c r="M941" s="306" t="s">
        <v>59</v>
      </c>
      <c r="N941" s="306" t="s">
        <v>60</v>
      </c>
      <c r="O941" s="308" t="s">
        <v>1874</v>
      </c>
      <c r="P941" s="308" t="s">
        <v>1893</v>
      </c>
      <c r="Q941" s="311">
        <v>161329000</v>
      </c>
      <c r="R941" s="306">
        <v>1</v>
      </c>
      <c r="S941" s="312">
        <v>161329000</v>
      </c>
      <c r="T941" s="306"/>
      <c r="U941" s="306" t="s">
        <v>1876</v>
      </c>
      <c r="V941" s="313" t="s">
        <v>794</v>
      </c>
      <c r="W941" s="314" t="s">
        <v>63</v>
      </c>
      <c r="X941" s="306"/>
      <c r="Y941" s="313"/>
      <c r="Z941" s="315"/>
      <c r="AA941" s="316" t="s">
        <v>2446</v>
      </c>
      <c r="AB941" s="317"/>
      <c r="AC941" s="313"/>
      <c r="AD941" s="312"/>
      <c r="AE941" s="318">
        <f t="shared" si="104"/>
        <v>161329000</v>
      </c>
      <c r="AF941" s="317"/>
      <c r="AG941" s="313"/>
      <c r="AH941" s="312"/>
      <c r="AI941" s="306"/>
      <c r="AJ941" s="306"/>
      <c r="AK941" s="318">
        <f t="shared" si="110"/>
        <v>0</v>
      </c>
      <c r="AL941" s="312">
        <v>0</v>
      </c>
      <c r="AM941" s="312">
        <f t="shared" si="108"/>
        <v>0</v>
      </c>
      <c r="AN941" s="306" t="s">
        <v>1863</v>
      </c>
      <c r="AO941" s="312">
        <f t="shared" si="109"/>
        <v>161329000</v>
      </c>
      <c r="AP941" s="306" t="s">
        <v>2779</v>
      </c>
      <c r="AQ941" s="306"/>
      <c r="AR941" s="306" t="s">
        <v>2760</v>
      </c>
      <c r="AS941" s="306"/>
      <c r="AT941" s="306"/>
    </row>
    <row r="942" spans="1:46" ht="89.25" x14ac:dyDescent="0.25">
      <c r="A942" s="306">
        <v>347</v>
      </c>
      <c r="B942" s="306" t="str">
        <f t="shared" si="107"/>
        <v>3075-347</v>
      </c>
      <c r="C942" s="307" t="s">
        <v>1852</v>
      </c>
      <c r="D942" s="308" t="s">
        <v>1853</v>
      </c>
      <c r="E942" s="308" t="s">
        <v>1879</v>
      </c>
      <c r="F942" s="307" t="s">
        <v>1880</v>
      </c>
      <c r="G942" s="309" t="s">
        <v>1881</v>
      </c>
      <c r="H942" s="310" t="s">
        <v>1882</v>
      </c>
      <c r="I942" s="308" t="s">
        <v>1858</v>
      </c>
      <c r="J942" s="308" t="s">
        <v>1859</v>
      </c>
      <c r="K942" s="308" t="s">
        <v>63</v>
      </c>
      <c r="L942" s="306" t="s">
        <v>1860</v>
      </c>
      <c r="M942" s="306" t="s">
        <v>59</v>
      </c>
      <c r="N942" s="306" t="s">
        <v>60</v>
      </c>
      <c r="O942" s="308" t="s">
        <v>1874</v>
      </c>
      <c r="P942" s="308" t="s">
        <v>1893</v>
      </c>
      <c r="Q942" s="311">
        <v>3218849944</v>
      </c>
      <c r="R942" s="306">
        <v>1</v>
      </c>
      <c r="S942" s="312">
        <v>2064849944</v>
      </c>
      <c r="T942" s="306"/>
      <c r="U942" s="306" t="s">
        <v>1876</v>
      </c>
      <c r="V942" s="313" t="s">
        <v>2780</v>
      </c>
      <c r="W942" s="314" t="s">
        <v>63</v>
      </c>
      <c r="X942" s="306"/>
      <c r="Y942" s="313"/>
      <c r="Z942" s="315"/>
      <c r="AA942" s="316" t="s">
        <v>2446</v>
      </c>
      <c r="AB942" s="317"/>
      <c r="AC942" s="313"/>
      <c r="AD942" s="312"/>
      <c r="AE942" s="318">
        <f t="shared" si="104"/>
        <v>2064849944</v>
      </c>
      <c r="AF942" s="317"/>
      <c r="AG942" s="313"/>
      <c r="AH942" s="312"/>
      <c r="AI942" s="306"/>
      <c r="AJ942" s="306"/>
      <c r="AK942" s="318">
        <f t="shared" si="110"/>
        <v>0</v>
      </c>
      <c r="AL942" s="312">
        <v>0</v>
      </c>
      <c r="AM942" s="312">
        <f t="shared" si="108"/>
        <v>0</v>
      </c>
      <c r="AN942" s="306" t="s">
        <v>1863</v>
      </c>
      <c r="AO942" s="312">
        <f t="shared" si="109"/>
        <v>2064849944</v>
      </c>
      <c r="AP942" s="306" t="s">
        <v>2779</v>
      </c>
      <c r="AQ942" s="306"/>
      <c r="AR942" s="306" t="s">
        <v>2760</v>
      </c>
      <c r="AS942" s="306"/>
      <c r="AT942" s="306"/>
    </row>
    <row r="943" spans="1:46" ht="63.75" x14ac:dyDescent="0.25">
      <c r="A943" s="306">
        <v>348</v>
      </c>
      <c r="B943" s="306" t="str">
        <f t="shared" si="107"/>
        <v>3075-348</v>
      </c>
      <c r="C943" s="307" t="s">
        <v>1852</v>
      </c>
      <c r="D943" s="308" t="s">
        <v>1853</v>
      </c>
      <c r="E943" s="308" t="s">
        <v>1879</v>
      </c>
      <c r="F943" s="307" t="s">
        <v>1880</v>
      </c>
      <c r="G943" s="309" t="s">
        <v>1881</v>
      </c>
      <c r="H943" s="310" t="s">
        <v>1882</v>
      </c>
      <c r="I943" s="308" t="s">
        <v>1895</v>
      </c>
      <c r="J943" s="308" t="s">
        <v>1896</v>
      </c>
      <c r="K943" s="308" t="s">
        <v>63</v>
      </c>
      <c r="L943" s="306" t="s">
        <v>1860</v>
      </c>
      <c r="M943" s="306" t="s">
        <v>59</v>
      </c>
      <c r="N943" s="306" t="s">
        <v>60</v>
      </c>
      <c r="O943" s="308" t="s">
        <v>1874</v>
      </c>
      <c r="P943" s="308" t="s">
        <v>1893</v>
      </c>
      <c r="Q943" s="311">
        <v>161329000</v>
      </c>
      <c r="R943" s="306">
        <v>1</v>
      </c>
      <c r="S943" s="312">
        <v>161329000</v>
      </c>
      <c r="T943" s="306"/>
      <c r="U943" s="306" t="s">
        <v>1876</v>
      </c>
      <c r="V943" s="313" t="s">
        <v>943</v>
      </c>
      <c r="W943" s="314" t="s">
        <v>63</v>
      </c>
      <c r="X943" s="323"/>
      <c r="Y943" s="313"/>
      <c r="Z943" s="315"/>
      <c r="AA943" s="316" t="s">
        <v>2789</v>
      </c>
      <c r="AB943" s="317"/>
      <c r="AC943" s="313"/>
      <c r="AD943" s="312"/>
      <c r="AE943" s="318">
        <f t="shared" si="104"/>
        <v>161329000</v>
      </c>
      <c r="AF943" s="317"/>
      <c r="AG943" s="313"/>
      <c r="AH943" s="312"/>
      <c r="AI943" s="306"/>
      <c r="AJ943" s="306"/>
      <c r="AK943" s="318">
        <f t="shared" si="110"/>
        <v>0</v>
      </c>
      <c r="AL943" s="312">
        <v>0</v>
      </c>
      <c r="AM943" s="312">
        <f t="shared" si="108"/>
        <v>0</v>
      </c>
      <c r="AN943" s="306" t="s">
        <v>1863</v>
      </c>
      <c r="AO943" s="312">
        <f t="shared" si="109"/>
        <v>161329000</v>
      </c>
      <c r="AP943" s="306" t="s">
        <v>2779</v>
      </c>
      <c r="AQ943" s="306"/>
      <c r="AR943" s="306" t="s">
        <v>2760</v>
      </c>
      <c r="AS943" s="306"/>
      <c r="AT943" s="306"/>
    </row>
    <row r="944" spans="1:46" ht="63.75" x14ac:dyDescent="0.25">
      <c r="A944" s="306">
        <v>349</v>
      </c>
      <c r="B944" s="306" t="str">
        <f t="shared" si="107"/>
        <v>3075-349</v>
      </c>
      <c r="C944" s="307" t="s">
        <v>1852</v>
      </c>
      <c r="D944" s="308" t="s">
        <v>1853</v>
      </c>
      <c r="E944" s="308" t="s">
        <v>1879</v>
      </c>
      <c r="F944" s="307" t="s">
        <v>1880</v>
      </c>
      <c r="G944" s="309" t="s">
        <v>1881</v>
      </c>
      <c r="H944" s="310" t="s">
        <v>1882</v>
      </c>
      <c r="I944" s="308" t="s">
        <v>1895</v>
      </c>
      <c r="J944" s="308" t="s">
        <v>1896</v>
      </c>
      <c r="K944" s="308" t="s">
        <v>63</v>
      </c>
      <c r="L944" s="306" t="s">
        <v>1860</v>
      </c>
      <c r="M944" s="306" t="s">
        <v>59</v>
      </c>
      <c r="N944" s="306" t="s">
        <v>60</v>
      </c>
      <c r="O944" s="308" t="s">
        <v>1874</v>
      </c>
      <c r="P944" s="308" t="s">
        <v>1893</v>
      </c>
      <c r="Q944" s="311">
        <v>161329000</v>
      </c>
      <c r="R944" s="306">
        <v>1</v>
      </c>
      <c r="S944" s="312">
        <v>161329000</v>
      </c>
      <c r="T944" s="306"/>
      <c r="U944" s="306" t="s">
        <v>1876</v>
      </c>
      <c r="V944" s="313" t="s">
        <v>304</v>
      </c>
      <c r="W944" s="314" t="s">
        <v>63</v>
      </c>
      <c r="X944" s="323"/>
      <c r="Y944" s="313"/>
      <c r="Z944" s="315"/>
      <c r="AA944" s="316" t="s">
        <v>2789</v>
      </c>
      <c r="AB944" s="317"/>
      <c r="AC944" s="313"/>
      <c r="AD944" s="312"/>
      <c r="AE944" s="318">
        <f t="shared" si="104"/>
        <v>161329000</v>
      </c>
      <c r="AF944" s="317"/>
      <c r="AG944" s="313"/>
      <c r="AH944" s="312"/>
      <c r="AI944" s="306"/>
      <c r="AJ944" s="306"/>
      <c r="AK944" s="318">
        <f t="shared" si="110"/>
        <v>0</v>
      </c>
      <c r="AL944" s="312">
        <v>0</v>
      </c>
      <c r="AM944" s="312">
        <f t="shared" si="108"/>
        <v>0</v>
      </c>
      <c r="AN944" s="306" t="s">
        <v>1863</v>
      </c>
      <c r="AO944" s="312">
        <f t="shared" si="109"/>
        <v>161329000</v>
      </c>
      <c r="AP944" s="306" t="s">
        <v>2779</v>
      </c>
      <c r="AQ944" s="306"/>
      <c r="AR944" s="306" t="s">
        <v>2760</v>
      </c>
      <c r="AS944" s="306"/>
      <c r="AT944" s="306"/>
    </row>
    <row r="945" spans="1:46" ht="63.75" x14ac:dyDescent="0.25">
      <c r="A945" s="306">
        <v>350</v>
      </c>
      <c r="B945" s="306" t="str">
        <f t="shared" si="107"/>
        <v>3075-350</v>
      </c>
      <c r="C945" s="307" t="s">
        <v>1852</v>
      </c>
      <c r="D945" s="308" t="s">
        <v>1853</v>
      </c>
      <c r="E945" s="308" t="s">
        <v>1879</v>
      </c>
      <c r="F945" s="307" t="s">
        <v>1880</v>
      </c>
      <c r="G945" s="309" t="s">
        <v>1881</v>
      </c>
      <c r="H945" s="310" t="s">
        <v>1882</v>
      </c>
      <c r="I945" s="308" t="s">
        <v>1895</v>
      </c>
      <c r="J945" s="308" t="s">
        <v>1896</v>
      </c>
      <c r="K945" s="308" t="s">
        <v>63</v>
      </c>
      <c r="L945" s="306" t="s">
        <v>1860</v>
      </c>
      <c r="M945" s="306" t="s">
        <v>59</v>
      </c>
      <c r="N945" s="306" t="s">
        <v>60</v>
      </c>
      <c r="O945" s="308" t="s">
        <v>1874</v>
      </c>
      <c r="P945" s="308" t="s">
        <v>1893</v>
      </c>
      <c r="Q945" s="311">
        <v>161329000</v>
      </c>
      <c r="R945" s="306">
        <v>1</v>
      </c>
      <c r="S945" s="312">
        <v>161329000</v>
      </c>
      <c r="T945" s="306"/>
      <c r="U945" s="306" t="s">
        <v>1876</v>
      </c>
      <c r="V945" s="313" t="s">
        <v>1012</v>
      </c>
      <c r="W945" s="314" t="s">
        <v>63</v>
      </c>
      <c r="X945" s="323"/>
      <c r="Y945" s="313"/>
      <c r="Z945" s="315"/>
      <c r="AA945" s="316" t="s">
        <v>2789</v>
      </c>
      <c r="AB945" s="317"/>
      <c r="AC945" s="313"/>
      <c r="AD945" s="312"/>
      <c r="AE945" s="318">
        <f t="shared" si="104"/>
        <v>161329000</v>
      </c>
      <c r="AF945" s="317"/>
      <c r="AG945" s="313"/>
      <c r="AH945" s="312"/>
      <c r="AI945" s="306"/>
      <c r="AJ945" s="306"/>
      <c r="AK945" s="318">
        <f t="shared" si="110"/>
        <v>0</v>
      </c>
      <c r="AL945" s="312">
        <v>0</v>
      </c>
      <c r="AM945" s="312">
        <f t="shared" si="108"/>
        <v>0</v>
      </c>
      <c r="AN945" s="306" t="s">
        <v>1863</v>
      </c>
      <c r="AO945" s="312">
        <f t="shared" si="109"/>
        <v>161329000</v>
      </c>
      <c r="AP945" s="306" t="s">
        <v>2779</v>
      </c>
      <c r="AQ945" s="306"/>
      <c r="AR945" s="306" t="s">
        <v>2760</v>
      </c>
      <c r="AS945" s="306"/>
      <c r="AT945" s="306"/>
    </row>
    <row r="946" spans="1:46" ht="63.75" x14ac:dyDescent="0.25">
      <c r="A946" s="306">
        <v>351</v>
      </c>
      <c r="B946" s="306" t="str">
        <f t="shared" si="107"/>
        <v>3075-351</v>
      </c>
      <c r="C946" s="307" t="s">
        <v>1852</v>
      </c>
      <c r="D946" s="308" t="s">
        <v>1853</v>
      </c>
      <c r="E946" s="308" t="s">
        <v>1879</v>
      </c>
      <c r="F946" s="307" t="s">
        <v>1880</v>
      </c>
      <c r="G946" s="309" t="s">
        <v>1881</v>
      </c>
      <c r="H946" s="310" t="s">
        <v>1882</v>
      </c>
      <c r="I946" s="308" t="s">
        <v>1895</v>
      </c>
      <c r="J946" s="308" t="s">
        <v>1896</v>
      </c>
      <c r="K946" s="308" t="s">
        <v>63</v>
      </c>
      <c r="L946" s="306" t="s">
        <v>1860</v>
      </c>
      <c r="M946" s="306" t="s">
        <v>59</v>
      </c>
      <c r="N946" s="306" t="s">
        <v>60</v>
      </c>
      <c r="O946" s="308" t="s">
        <v>1874</v>
      </c>
      <c r="P946" s="308" t="s">
        <v>1893</v>
      </c>
      <c r="Q946" s="311">
        <v>161329000</v>
      </c>
      <c r="R946" s="306">
        <v>1</v>
      </c>
      <c r="S946" s="312">
        <v>161329000</v>
      </c>
      <c r="T946" s="306"/>
      <c r="U946" s="306" t="s">
        <v>1876</v>
      </c>
      <c r="V946" s="313" t="s">
        <v>2787</v>
      </c>
      <c r="W946" s="314" t="s">
        <v>63</v>
      </c>
      <c r="X946" s="323"/>
      <c r="Y946" s="313"/>
      <c r="Z946" s="315"/>
      <c r="AA946" s="316" t="s">
        <v>2789</v>
      </c>
      <c r="AB946" s="317"/>
      <c r="AC946" s="313"/>
      <c r="AD946" s="312"/>
      <c r="AE946" s="318">
        <f t="shared" si="104"/>
        <v>161329000</v>
      </c>
      <c r="AF946" s="317"/>
      <c r="AG946" s="313"/>
      <c r="AH946" s="312"/>
      <c r="AI946" s="306"/>
      <c r="AJ946" s="306"/>
      <c r="AK946" s="318">
        <f t="shared" si="110"/>
        <v>0</v>
      </c>
      <c r="AL946" s="312">
        <v>0</v>
      </c>
      <c r="AM946" s="312">
        <f t="shared" si="108"/>
        <v>0</v>
      </c>
      <c r="AN946" s="306" t="s">
        <v>1863</v>
      </c>
      <c r="AO946" s="312">
        <f t="shared" si="109"/>
        <v>161329000</v>
      </c>
      <c r="AP946" s="306" t="s">
        <v>2779</v>
      </c>
      <c r="AQ946" s="306"/>
      <c r="AR946" s="306" t="s">
        <v>2760</v>
      </c>
      <c r="AS946" s="306"/>
      <c r="AT946" s="306"/>
    </row>
    <row r="947" spans="1:46" ht="63.75" x14ac:dyDescent="0.25">
      <c r="A947" s="306">
        <v>352</v>
      </c>
      <c r="B947" s="306" t="str">
        <f t="shared" si="107"/>
        <v>3075-352</v>
      </c>
      <c r="C947" s="307" t="s">
        <v>1852</v>
      </c>
      <c r="D947" s="308" t="s">
        <v>1853</v>
      </c>
      <c r="E947" s="308" t="s">
        <v>1879</v>
      </c>
      <c r="F947" s="307" t="s">
        <v>1880</v>
      </c>
      <c r="G947" s="309" t="s">
        <v>1881</v>
      </c>
      <c r="H947" s="310" t="s">
        <v>1882</v>
      </c>
      <c r="I947" s="308" t="s">
        <v>1895</v>
      </c>
      <c r="J947" s="308" t="s">
        <v>1896</v>
      </c>
      <c r="K947" s="308" t="s">
        <v>63</v>
      </c>
      <c r="L947" s="306" t="s">
        <v>1860</v>
      </c>
      <c r="M947" s="306" t="s">
        <v>59</v>
      </c>
      <c r="N947" s="306" t="s">
        <v>60</v>
      </c>
      <c r="O947" s="308" t="s">
        <v>1874</v>
      </c>
      <c r="P947" s="308" t="s">
        <v>1893</v>
      </c>
      <c r="Q947" s="311">
        <v>161329000</v>
      </c>
      <c r="R947" s="306">
        <v>1</v>
      </c>
      <c r="S947" s="312">
        <v>161329000</v>
      </c>
      <c r="T947" s="306"/>
      <c r="U947" s="306" t="s">
        <v>1876</v>
      </c>
      <c r="V947" s="313" t="s">
        <v>2788</v>
      </c>
      <c r="W947" s="314" t="s">
        <v>63</v>
      </c>
      <c r="X947" s="323"/>
      <c r="Y947" s="313"/>
      <c r="Z947" s="315"/>
      <c r="AA947" s="316" t="s">
        <v>2789</v>
      </c>
      <c r="AB947" s="317"/>
      <c r="AC947" s="313"/>
      <c r="AD947" s="312"/>
      <c r="AE947" s="318">
        <f t="shared" si="104"/>
        <v>161329000</v>
      </c>
      <c r="AF947" s="317"/>
      <c r="AG947" s="313"/>
      <c r="AH947" s="312"/>
      <c r="AI947" s="306"/>
      <c r="AJ947" s="306"/>
      <c r="AK947" s="318">
        <f t="shared" si="110"/>
        <v>0</v>
      </c>
      <c r="AL947" s="312">
        <v>0</v>
      </c>
      <c r="AM947" s="312">
        <f t="shared" si="108"/>
        <v>0</v>
      </c>
      <c r="AN947" s="306" t="s">
        <v>1863</v>
      </c>
      <c r="AO947" s="312">
        <f t="shared" si="109"/>
        <v>161329000</v>
      </c>
      <c r="AP947" s="306" t="s">
        <v>2779</v>
      </c>
      <c r="AQ947" s="306"/>
      <c r="AR947" s="306" t="s">
        <v>2760</v>
      </c>
      <c r="AS947" s="306"/>
      <c r="AT947" s="306"/>
    </row>
    <row r="948" spans="1:46" ht="63.75" x14ac:dyDescent="0.25">
      <c r="A948" s="306">
        <v>353</v>
      </c>
      <c r="B948" s="306" t="str">
        <f t="shared" si="107"/>
        <v>3075-353</v>
      </c>
      <c r="C948" s="307" t="s">
        <v>1852</v>
      </c>
      <c r="D948" s="308" t="s">
        <v>1853</v>
      </c>
      <c r="E948" s="308" t="s">
        <v>1879</v>
      </c>
      <c r="F948" s="307" t="s">
        <v>1880</v>
      </c>
      <c r="G948" s="309" t="s">
        <v>1881</v>
      </c>
      <c r="H948" s="310" t="s">
        <v>1882</v>
      </c>
      <c r="I948" s="308" t="s">
        <v>1895</v>
      </c>
      <c r="J948" s="308" t="s">
        <v>1896</v>
      </c>
      <c r="K948" s="308" t="s">
        <v>63</v>
      </c>
      <c r="L948" s="306" t="s">
        <v>1860</v>
      </c>
      <c r="M948" s="306" t="s">
        <v>59</v>
      </c>
      <c r="N948" s="306" t="s">
        <v>60</v>
      </c>
      <c r="O948" s="308" t="s">
        <v>1874</v>
      </c>
      <c r="P948" s="308" t="s">
        <v>1893</v>
      </c>
      <c r="Q948" s="311">
        <v>161328944</v>
      </c>
      <c r="R948" s="306">
        <v>1</v>
      </c>
      <c r="S948" s="312">
        <v>161328944</v>
      </c>
      <c r="T948" s="306"/>
      <c r="U948" s="306" t="s">
        <v>1876</v>
      </c>
      <c r="V948" s="313" t="s">
        <v>794</v>
      </c>
      <c r="W948" s="314" t="s">
        <v>63</v>
      </c>
      <c r="X948" s="323"/>
      <c r="Y948" s="313"/>
      <c r="Z948" s="315"/>
      <c r="AA948" s="316" t="s">
        <v>2789</v>
      </c>
      <c r="AB948" s="317"/>
      <c r="AC948" s="313"/>
      <c r="AD948" s="312"/>
      <c r="AE948" s="318">
        <f t="shared" si="104"/>
        <v>161328944</v>
      </c>
      <c r="AF948" s="317"/>
      <c r="AG948" s="313"/>
      <c r="AH948" s="312"/>
      <c r="AI948" s="306"/>
      <c r="AJ948" s="306"/>
      <c r="AK948" s="318">
        <f t="shared" si="110"/>
        <v>0</v>
      </c>
      <c r="AL948" s="312">
        <v>0</v>
      </c>
      <c r="AM948" s="312">
        <f t="shared" si="108"/>
        <v>0</v>
      </c>
      <c r="AN948" s="306" t="s">
        <v>1863</v>
      </c>
      <c r="AO948" s="312">
        <f t="shared" si="109"/>
        <v>161328944</v>
      </c>
      <c r="AP948" s="306" t="s">
        <v>2779</v>
      </c>
      <c r="AQ948" s="306"/>
      <c r="AR948" s="306" t="s">
        <v>2760</v>
      </c>
      <c r="AS948" s="306"/>
      <c r="AT948" s="306"/>
    </row>
    <row r="949" spans="1:46" ht="89.25" x14ac:dyDescent="0.25">
      <c r="A949" s="306">
        <v>354</v>
      </c>
      <c r="B949" s="306" t="str">
        <f t="shared" si="107"/>
        <v>3075-354</v>
      </c>
      <c r="C949" s="307" t="s">
        <v>1852</v>
      </c>
      <c r="D949" s="308" t="s">
        <v>1853</v>
      </c>
      <c r="E949" s="308" t="s">
        <v>1879</v>
      </c>
      <c r="F949" s="307" t="s">
        <v>1880</v>
      </c>
      <c r="G949" s="309" t="s">
        <v>1881</v>
      </c>
      <c r="H949" s="310" t="s">
        <v>1882</v>
      </c>
      <c r="I949" s="308" t="s">
        <v>1895</v>
      </c>
      <c r="J949" s="308" t="s">
        <v>1896</v>
      </c>
      <c r="K949" s="308" t="s">
        <v>63</v>
      </c>
      <c r="L949" s="306" t="s">
        <v>1860</v>
      </c>
      <c r="M949" s="306" t="s">
        <v>59</v>
      </c>
      <c r="N949" s="306" t="s">
        <v>60</v>
      </c>
      <c r="O949" s="308" t="s">
        <v>1874</v>
      </c>
      <c r="P949" s="308" t="s">
        <v>1893</v>
      </c>
      <c r="Q949" s="311">
        <v>6031299056</v>
      </c>
      <c r="R949" s="306">
        <v>1</v>
      </c>
      <c r="S949" s="312">
        <f>6031299056-4150000000</f>
        <v>1881299056</v>
      </c>
      <c r="T949" s="306"/>
      <c r="U949" s="306" t="s">
        <v>1876</v>
      </c>
      <c r="V949" s="313" t="s">
        <v>2780</v>
      </c>
      <c r="W949" s="314" t="s">
        <v>63</v>
      </c>
      <c r="X949" s="323"/>
      <c r="Y949" s="313"/>
      <c r="Z949" s="315"/>
      <c r="AA949" s="316" t="s">
        <v>2789</v>
      </c>
      <c r="AB949" s="317"/>
      <c r="AC949" s="313"/>
      <c r="AD949" s="312"/>
      <c r="AE949" s="318">
        <f t="shared" si="104"/>
        <v>1881299056</v>
      </c>
      <c r="AF949" s="317"/>
      <c r="AG949" s="313"/>
      <c r="AH949" s="312"/>
      <c r="AI949" s="306"/>
      <c r="AJ949" s="306"/>
      <c r="AK949" s="318">
        <f t="shared" si="110"/>
        <v>0</v>
      </c>
      <c r="AL949" s="312">
        <v>0</v>
      </c>
      <c r="AM949" s="312">
        <f t="shared" si="108"/>
        <v>0</v>
      </c>
      <c r="AN949" s="306" t="s">
        <v>1863</v>
      </c>
      <c r="AO949" s="312">
        <f t="shared" si="109"/>
        <v>1881299056</v>
      </c>
      <c r="AP949" s="306" t="s">
        <v>2779</v>
      </c>
      <c r="AQ949" s="306"/>
      <c r="AR949" s="306" t="s">
        <v>2760</v>
      </c>
      <c r="AS949" s="306"/>
      <c r="AT949" s="306"/>
    </row>
    <row r="950" spans="1:46" ht="153" x14ac:dyDescent="0.25">
      <c r="A950" s="306">
        <v>355</v>
      </c>
      <c r="B950" s="306" t="str">
        <f t="shared" si="107"/>
        <v>3075-355</v>
      </c>
      <c r="C950" s="307" t="s">
        <v>1852</v>
      </c>
      <c r="D950" s="308" t="s">
        <v>1853</v>
      </c>
      <c r="E950" s="307" t="s">
        <v>1897</v>
      </c>
      <c r="F950" s="307" t="s">
        <v>1880</v>
      </c>
      <c r="G950" s="309" t="s">
        <v>1881</v>
      </c>
      <c r="H950" s="310" t="s">
        <v>1898</v>
      </c>
      <c r="I950" s="308" t="s">
        <v>1858</v>
      </c>
      <c r="J950" s="308" t="s">
        <v>1859</v>
      </c>
      <c r="K950" s="308" t="s">
        <v>63</v>
      </c>
      <c r="L950" s="306" t="s">
        <v>1860</v>
      </c>
      <c r="M950" s="306" t="s">
        <v>59</v>
      </c>
      <c r="N950" s="306" t="s">
        <v>60</v>
      </c>
      <c r="O950" s="308" t="s">
        <v>1899</v>
      </c>
      <c r="P950" s="308" t="s">
        <v>1900</v>
      </c>
      <c r="Q950" s="311">
        <v>382129510</v>
      </c>
      <c r="R950" s="306">
        <v>1</v>
      </c>
      <c r="S950" s="312">
        <v>846833253</v>
      </c>
      <c r="T950" s="306"/>
      <c r="U950" s="306" t="s">
        <v>1876</v>
      </c>
      <c r="V950" s="313" t="s">
        <v>2790</v>
      </c>
      <c r="W950" s="314" t="s">
        <v>63</v>
      </c>
      <c r="X950" s="324"/>
      <c r="Y950" s="313"/>
      <c r="Z950" s="315"/>
      <c r="AA950" s="316" t="s">
        <v>2736</v>
      </c>
      <c r="AB950" s="317"/>
      <c r="AC950" s="313"/>
      <c r="AD950" s="312"/>
      <c r="AE950" s="318">
        <f>S950-AD950</f>
        <v>846833253</v>
      </c>
      <c r="AF950" s="317"/>
      <c r="AG950" s="313"/>
      <c r="AH950" s="312"/>
      <c r="AI950" s="306"/>
      <c r="AJ950" s="306"/>
      <c r="AK950" s="318">
        <f t="shared" si="110"/>
        <v>0</v>
      </c>
      <c r="AL950" s="312"/>
      <c r="AM950" s="312">
        <f t="shared" si="108"/>
        <v>0</v>
      </c>
      <c r="AN950" s="306" t="s">
        <v>1863</v>
      </c>
      <c r="AO950" s="312">
        <f t="shared" si="109"/>
        <v>846833253</v>
      </c>
      <c r="AP950" s="306" t="s">
        <v>2779</v>
      </c>
      <c r="AQ950" s="306"/>
      <c r="AR950" s="306" t="s">
        <v>2760</v>
      </c>
      <c r="AS950" s="306"/>
      <c r="AT950" s="306"/>
    </row>
    <row r="951" spans="1:46" ht="89.25" x14ac:dyDescent="0.25">
      <c r="A951" s="306">
        <v>356</v>
      </c>
      <c r="B951" s="306" t="str">
        <f t="shared" si="107"/>
        <v>3075-356</v>
      </c>
      <c r="C951" s="307" t="s">
        <v>1852</v>
      </c>
      <c r="D951" s="308" t="s">
        <v>1853</v>
      </c>
      <c r="E951" s="307" t="s">
        <v>1897</v>
      </c>
      <c r="F951" s="307" t="s">
        <v>1880</v>
      </c>
      <c r="G951" s="309" t="s">
        <v>1881</v>
      </c>
      <c r="H951" s="310" t="s">
        <v>1898</v>
      </c>
      <c r="I951" s="308" t="s">
        <v>1858</v>
      </c>
      <c r="J951" s="308" t="s">
        <v>1859</v>
      </c>
      <c r="K951" s="308" t="s">
        <v>63</v>
      </c>
      <c r="L951" s="306" t="s">
        <v>1860</v>
      </c>
      <c r="M951" s="306" t="s">
        <v>59</v>
      </c>
      <c r="N951" s="306" t="s">
        <v>60</v>
      </c>
      <c r="O951" s="308" t="s">
        <v>1899</v>
      </c>
      <c r="P951" s="308" t="s">
        <v>1900</v>
      </c>
      <c r="Q951" s="311">
        <v>564741082</v>
      </c>
      <c r="R951" s="306">
        <v>1</v>
      </c>
      <c r="S951" s="312">
        <f>564741082-406560</f>
        <v>564334522</v>
      </c>
      <c r="T951" s="306"/>
      <c r="U951" s="306" t="s">
        <v>1876</v>
      </c>
      <c r="V951" s="313" t="s">
        <v>2791</v>
      </c>
      <c r="W951" s="314" t="s">
        <v>63</v>
      </c>
      <c r="X951" s="324"/>
      <c r="Y951" s="313"/>
      <c r="Z951" s="315"/>
      <c r="AA951" s="316" t="s">
        <v>2736</v>
      </c>
      <c r="AB951" s="317"/>
      <c r="AC951" s="313"/>
      <c r="AD951" s="312"/>
      <c r="AE951" s="318">
        <f>S951-AD951</f>
        <v>564334522</v>
      </c>
      <c r="AF951" s="317"/>
      <c r="AG951" s="313"/>
      <c r="AH951" s="312"/>
      <c r="AI951" s="306"/>
      <c r="AJ951" s="306"/>
      <c r="AK951" s="318">
        <f t="shared" si="110"/>
        <v>0</v>
      </c>
      <c r="AL951" s="312"/>
      <c r="AM951" s="312">
        <f t="shared" si="108"/>
        <v>0</v>
      </c>
      <c r="AN951" s="306" t="s">
        <v>1863</v>
      </c>
      <c r="AO951" s="312">
        <f t="shared" si="109"/>
        <v>564334522</v>
      </c>
      <c r="AP951" s="306" t="s">
        <v>2779</v>
      </c>
      <c r="AQ951" s="306"/>
      <c r="AR951" s="306" t="s">
        <v>2760</v>
      </c>
      <c r="AS951" s="306"/>
      <c r="AT951" s="306"/>
    </row>
    <row r="952" spans="1:46" ht="114.75" x14ac:dyDescent="0.25">
      <c r="A952" s="306">
        <v>357</v>
      </c>
      <c r="B952" s="306" t="str">
        <f t="shared" si="107"/>
        <v>3075-357</v>
      </c>
      <c r="C952" s="307" t="s">
        <v>1852</v>
      </c>
      <c r="D952" s="308" t="s">
        <v>1853</v>
      </c>
      <c r="E952" s="308" t="s">
        <v>1854</v>
      </c>
      <c r="F952" s="307" t="s">
        <v>1855</v>
      </c>
      <c r="G952" s="319" t="s">
        <v>1903</v>
      </c>
      <c r="H952" s="325" t="s">
        <v>1904</v>
      </c>
      <c r="I952" s="308" t="s">
        <v>1858</v>
      </c>
      <c r="J952" s="308" t="s">
        <v>1859</v>
      </c>
      <c r="K952" s="326" t="s">
        <v>63</v>
      </c>
      <c r="L952" s="306" t="s">
        <v>1860</v>
      </c>
      <c r="M952" s="306" t="s">
        <v>59</v>
      </c>
      <c r="N952" s="306" t="s">
        <v>60</v>
      </c>
      <c r="O952" s="308" t="s">
        <v>1899</v>
      </c>
      <c r="P952" s="308" t="s">
        <v>2792</v>
      </c>
      <c r="Q952" s="315">
        <v>10000000</v>
      </c>
      <c r="R952" s="306">
        <v>1</v>
      </c>
      <c r="S952" s="312">
        <v>10000000</v>
      </c>
      <c r="T952" s="306"/>
      <c r="U952" s="306" t="s">
        <v>1906</v>
      </c>
      <c r="V952" s="313" t="s">
        <v>1015</v>
      </c>
      <c r="W952" s="314" t="s">
        <v>63</v>
      </c>
      <c r="X952" s="306"/>
      <c r="Y952" s="321"/>
      <c r="Z952" s="315"/>
      <c r="AA952" s="316"/>
      <c r="AB952" s="317"/>
      <c r="AC952" s="313"/>
      <c r="AD952" s="312"/>
      <c r="AE952" s="318">
        <f t="shared" ref="AE952:AE962" si="111">S952-Z952</f>
        <v>10000000</v>
      </c>
      <c r="AF952" s="317"/>
      <c r="AG952" s="313"/>
      <c r="AH952" s="312"/>
      <c r="AI952" s="306"/>
      <c r="AJ952" s="306"/>
      <c r="AK952" s="318">
        <f t="shared" si="110"/>
        <v>0</v>
      </c>
      <c r="AL952" s="312">
        <v>0</v>
      </c>
      <c r="AM952" s="312">
        <f t="shared" si="108"/>
        <v>0</v>
      </c>
      <c r="AN952" s="306" t="s">
        <v>1863</v>
      </c>
      <c r="AO952" s="312">
        <f t="shared" si="109"/>
        <v>10000000</v>
      </c>
      <c r="AP952" s="306" t="s">
        <v>2779</v>
      </c>
      <c r="AQ952" s="306"/>
      <c r="AR952" s="306" t="s">
        <v>2760</v>
      </c>
      <c r="AS952" s="306"/>
      <c r="AT952" s="306"/>
    </row>
    <row r="953" spans="1:46" ht="114.75" x14ac:dyDescent="0.25">
      <c r="A953" s="306">
        <v>358</v>
      </c>
      <c r="B953" s="306" t="str">
        <f t="shared" si="107"/>
        <v>3075-358</v>
      </c>
      <c r="C953" s="307" t="s">
        <v>1852</v>
      </c>
      <c r="D953" s="308" t="s">
        <v>1853</v>
      </c>
      <c r="E953" s="308" t="s">
        <v>1854</v>
      </c>
      <c r="F953" s="307" t="s">
        <v>1855</v>
      </c>
      <c r="G953" s="319" t="s">
        <v>1903</v>
      </c>
      <c r="H953" s="325" t="s">
        <v>1904</v>
      </c>
      <c r="I953" s="308" t="s">
        <v>1858</v>
      </c>
      <c r="J953" s="308" t="s">
        <v>1859</v>
      </c>
      <c r="K953" s="326" t="s">
        <v>63</v>
      </c>
      <c r="L953" s="306" t="s">
        <v>1860</v>
      </c>
      <c r="M953" s="306" t="s">
        <v>59</v>
      </c>
      <c r="N953" s="306" t="s">
        <v>60</v>
      </c>
      <c r="O953" s="308" t="s">
        <v>1899</v>
      </c>
      <c r="P953" s="308" t="s">
        <v>2792</v>
      </c>
      <c r="Q953" s="315">
        <v>10000000</v>
      </c>
      <c r="R953" s="306">
        <v>1</v>
      </c>
      <c r="S953" s="312">
        <v>10000000</v>
      </c>
      <c r="T953" s="306"/>
      <c r="U953" s="306" t="s">
        <v>1906</v>
      </c>
      <c r="V953" s="313" t="s">
        <v>836</v>
      </c>
      <c r="W953" s="314" t="s">
        <v>63</v>
      </c>
      <c r="X953" s="306"/>
      <c r="Y953" s="321"/>
      <c r="Z953" s="315"/>
      <c r="AA953" s="316"/>
      <c r="AB953" s="317"/>
      <c r="AC953" s="313"/>
      <c r="AD953" s="312"/>
      <c r="AE953" s="318">
        <f t="shared" si="111"/>
        <v>10000000</v>
      </c>
      <c r="AF953" s="317"/>
      <c r="AG953" s="313"/>
      <c r="AH953" s="312"/>
      <c r="AI953" s="306"/>
      <c r="AJ953" s="306"/>
      <c r="AK953" s="318">
        <f t="shared" si="110"/>
        <v>0</v>
      </c>
      <c r="AL953" s="312">
        <v>0</v>
      </c>
      <c r="AM953" s="312">
        <f t="shared" si="108"/>
        <v>0</v>
      </c>
      <c r="AN953" s="306" t="s">
        <v>1863</v>
      </c>
      <c r="AO953" s="312">
        <f t="shared" si="109"/>
        <v>10000000</v>
      </c>
      <c r="AP953" s="306" t="s">
        <v>2779</v>
      </c>
      <c r="AQ953" s="306"/>
      <c r="AR953" s="306" t="s">
        <v>2760</v>
      </c>
      <c r="AS953" s="306"/>
      <c r="AT953" s="306"/>
    </row>
    <row r="954" spans="1:46" ht="114.75" x14ac:dyDescent="0.25">
      <c r="A954" s="306">
        <v>359</v>
      </c>
      <c r="B954" s="306" t="str">
        <f t="shared" si="107"/>
        <v>3075-359</v>
      </c>
      <c r="C954" s="307" t="s">
        <v>1852</v>
      </c>
      <c r="D954" s="308" t="s">
        <v>1853</v>
      </c>
      <c r="E954" s="308" t="s">
        <v>1854</v>
      </c>
      <c r="F954" s="307" t="s">
        <v>1855</v>
      </c>
      <c r="G954" s="319" t="s">
        <v>1903</v>
      </c>
      <c r="H954" s="325" t="s">
        <v>1904</v>
      </c>
      <c r="I954" s="308" t="s">
        <v>1858</v>
      </c>
      <c r="J954" s="308" t="s">
        <v>1859</v>
      </c>
      <c r="K954" s="326" t="s">
        <v>63</v>
      </c>
      <c r="L954" s="306" t="s">
        <v>1860</v>
      </c>
      <c r="M954" s="306" t="s">
        <v>59</v>
      </c>
      <c r="N954" s="306" t="s">
        <v>60</v>
      </c>
      <c r="O954" s="308" t="s">
        <v>1899</v>
      </c>
      <c r="P954" s="308" t="s">
        <v>2792</v>
      </c>
      <c r="Q954" s="315">
        <v>10000000</v>
      </c>
      <c r="R954" s="306">
        <v>1</v>
      </c>
      <c r="S954" s="312">
        <v>10000000</v>
      </c>
      <c r="T954" s="306"/>
      <c r="U954" s="306" t="s">
        <v>1906</v>
      </c>
      <c r="V954" s="313" t="s">
        <v>943</v>
      </c>
      <c r="W954" s="314" t="s">
        <v>63</v>
      </c>
      <c r="X954" s="306"/>
      <c r="Y954" s="321"/>
      <c r="Z954" s="315"/>
      <c r="AA954" s="316"/>
      <c r="AB954" s="317"/>
      <c r="AC954" s="313"/>
      <c r="AD954" s="312"/>
      <c r="AE954" s="318">
        <f t="shared" si="111"/>
        <v>10000000</v>
      </c>
      <c r="AF954" s="317"/>
      <c r="AG954" s="313"/>
      <c r="AH954" s="312"/>
      <c r="AI954" s="306"/>
      <c r="AJ954" s="306"/>
      <c r="AK954" s="318">
        <f t="shared" si="110"/>
        <v>0</v>
      </c>
      <c r="AL954" s="312">
        <v>0</v>
      </c>
      <c r="AM954" s="312">
        <f t="shared" si="108"/>
        <v>0</v>
      </c>
      <c r="AN954" s="306" t="s">
        <v>1863</v>
      </c>
      <c r="AO954" s="312">
        <f t="shared" si="109"/>
        <v>10000000</v>
      </c>
      <c r="AP954" s="306" t="s">
        <v>2779</v>
      </c>
      <c r="AQ954" s="306"/>
      <c r="AR954" s="306" t="s">
        <v>2760</v>
      </c>
      <c r="AS954" s="306"/>
      <c r="AT954" s="306"/>
    </row>
    <row r="955" spans="1:46" ht="114.75" x14ac:dyDescent="0.25">
      <c r="A955" s="306">
        <v>360</v>
      </c>
      <c r="B955" s="306" t="str">
        <f t="shared" si="107"/>
        <v>3075-360</v>
      </c>
      <c r="C955" s="307" t="s">
        <v>1852</v>
      </c>
      <c r="D955" s="308" t="s">
        <v>1853</v>
      </c>
      <c r="E955" s="308" t="s">
        <v>1854</v>
      </c>
      <c r="F955" s="307" t="s">
        <v>1855</v>
      </c>
      <c r="G955" s="319" t="s">
        <v>1903</v>
      </c>
      <c r="H955" s="325" t="s">
        <v>1904</v>
      </c>
      <c r="I955" s="308" t="s">
        <v>1858</v>
      </c>
      <c r="J955" s="308" t="s">
        <v>1859</v>
      </c>
      <c r="K955" s="326" t="s">
        <v>63</v>
      </c>
      <c r="L955" s="306" t="s">
        <v>1860</v>
      </c>
      <c r="M955" s="306" t="s">
        <v>59</v>
      </c>
      <c r="N955" s="306" t="s">
        <v>60</v>
      </c>
      <c r="O955" s="308" t="s">
        <v>1899</v>
      </c>
      <c r="P955" s="308" t="s">
        <v>2792</v>
      </c>
      <c r="Q955" s="315">
        <v>10000000</v>
      </c>
      <c r="R955" s="306">
        <v>1</v>
      </c>
      <c r="S955" s="312">
        <v>10000000</v>
      </c>
      <c r="T955" s="306"/>
      <c r="U955" s="306" t="s">
        <v>1906</v>
      </c>
      <c r="V955" s="313" t="s">
        <v>304</v>
      </c>
      <c r="W955" s="314" t="s">
        <v>63</v>
      </c>
      <c r="X955" s="306"/>
      <c r="Y955" s="321"/>
      <c r="Z955" s="315"/>
      <c r="AA955" s="316"/>
      <c r="AB955" s="317"/>
      <c r="AC955" s="313"/>
      <c r="AD955" s="312"/>
      <c r="AE955" s="318">
        <f t="shared" si="111"/>
        <v>10000000</v>
      </c>
      <c r="AF955" s="317"/>
      <c r="AG955" s="313"/>
      <c r="AH955" s="312"/>
      <c r="AI955" s="306"/>
      <c r="AJ955" s="306"/>
      <c r="AK955" s="318">
        <f t="shared" si="110"/>
        <v>0</v>
      </c>
      <c r="AL955" s="312">
        <v>0</v>
      </c>
      <c r="AM955" s="312">
        <f t="shared" si="108"/>
        <v>0</v>
      </c>
      <c r="AN955" s="306" t="s">
        <v>1863</v>
      </c>
      <c r="AO955" s="312">
        <f t="shared" si="109"/>
        <v>10000000</v>
      </c>
      <c r="AP955" s="306" t="s">
        <v>2779</v>
      </c>
      <c r="AQ955" s="306"/>
      <c r="AR955" s="306" t="s">
        <v>2760</v>
      </c>
      <c r="AS955" s="306"/>
      <c r="AT955" s="306"/>
    </row>
    <row r="956" spans="1:46" ht="114.75" x14ac:dyDescent="0.25">
      <c r="A956" s="306">
        <v>361</v>
      </c>
      <c r="B956" s="306" t="str">
        <f t="shared" si="107"/>
        <v>3075-361</v>
      </c>
      <c r="C956" s="307" t="s">
        <v>1852</v>
      </c>
      <c r="D956" s="308" t="s">
        <v>1853</v>
      </c>
      <c r="E956" s="308" t="s">
        <v>1854</v>
      </c>
      <c r="F956" s="307" t="s">
        <v>1855</v>
      </c>
      <c r="G956" s="319" t="s">
        <v>1903</v>
      </c>
      <c r="H956" s="325" t="s">
        <v>1904</v>
      </c>
      <c r="I956" s="308" t="s">
        <v>1858</v>
      </c>
      <c r="J956" s="308" t="s">
        <v>1859</v>
      </c>
      <c r="K956" s="326" t="s">
        <v>63</v>
      </c>
      <c r="L956" s="306" t="s">
        <v>1860</v>
      </c>
      <c r="M956" s="306" t="s">
        <v>59</v>
      </c>
      <c r="N956" s="306" t="s">
        <v>60</v>
      </c>
      <c r="O956" s="308" t="s">
        <v>1899</v>
      </c>
      <c r="P956" s="308" t="s">
        <v>2792</v>
      </c>
      <c r="Q956" s="315">
        <v>10000000</v>
      </c>
      <c r="R956" s="306">
        <v>1</v>
      </c>
      <c r="S956" s="312">
        <v>10000000</v>
      </c>
      <c r="T956" s="306"/>
      <c r="U956" s="306" t="s">
        <v>1906</v>
      </c>
      <c r="V956" s="313" t="s">
        <v>1012</v>
      </c>
      <c r="W956" s="314" t="s">
        <v>63</v>
      </c>
      <c r="X956" s="306"/>
      <c r="Y956" s="321"/>
      <c r="Z956" s="315"/>
      <c r="AA956" s="316"/>
      <c r="AB956" s="317"/>
      <c r="AC956" s="313"/>
      <c r="AD956" s="312"/>
      <c r="AE956" s="318">
        <f t="shared" si="111"/>
        <v>10000000</v>
      </c>
      <c r="AF956" s="317"/>
      <c r="AG956" s="313"/>
      <c r="AH956" s="312"/>
      <c r="AI956" s="306"/>
      <c r="AJ956" s="306"/>
      <c r="AK956" s="318">
        <f t="shared" si="110"/>
        <v>0</v>
      </c>
      <c r="AL956" s="312">
        <v>0</v>
      </c>
      <c r="AM956" s="312">
        <f t="shared" si="108"/>
        <v>0</v>
      </c>
      <c r="AN956" s="306" t="s">
        <v>1863</v>
      </c>
      <c r="AO956" s="312">
        <f t="shared" si="109"/>
        <v>10000000</v>
      </c>
      <c r="AP956" s="306" t="s">
        <v>2779</v>
      </c>
      <c r="AQ956" s="306"/>
      <c r="AR956" s="306" t="s">
        <v>2760</v>
      </c>
      <c r="AS956" s="306"/>
      <c r="AT956" s="306"/>
    </row>
    <row r="957" spans="1:46" ht="114.75" x14ac:dyDescent="0.25">
      <c r="A957" s="306">
        <v>362</v>
      </c>
      <c r="B957" s="306" t="str">
        <f t="shared" si="107"/>
        <v>3075-362</v>
      </c>
      <c r="C957" s="307" t="s">
        <v>1852</v>
      </c>
      <c r="D957" s="308" t="s">
        <v>1853</v>
      </c>
      <c r="E957" s="308" t="s">
        <v>1854</v>
      </c>
      <c r="F957" s="307" t="s">
        <v>1855</v>
      </c>
      <c r="G957" s="319" t="s">
        <v>1903</v>
      </c>
      <c r="H957" s="325" t="s">
        <v>1904</v>
      </c>
      <c r="I957" s="308" t="s">
        <v>1858</v>
      </c>
      <c r="J957" s="308" t="s">
        <v>1859</v>
      </c>
      <c r="K957" s="326" t="s">
        <v>63</v>
      </c>
      <c r="L957" s="306" t="s">
        <v>1860</v>
      </c>
      <c r="M957" s="306" t="s">
        <v>59</v>
      </c>
      <c r="N957" s="306" t="s">
        <v>60</v>
      </c>
      <c r="O957" s="308" t="s">
        <v>1899</v>
      </c>
      <c r="P957" s="308" t="s">
        <v>2792</v>
      </c>
      <c r="Q957" s="315">
        <v>10000000</v>
      </c>
      <c r="R957" s="306">
        <v>1</v>
      </c>
      <c r="S957" s="312">
        <v>10000000</v>
      </c>
      <c r="T957" s="306"/>
      <c r="U957" s="306" t="s">
        <v>1906</v>
      </c>
      <c r="V957" s="313" t="s">
        <v>2787</v>
      </c>
      <c r="W957" s="314" t="s">
        <v>63</v>
      </c>
      <c r="X957" s="306"/>
      <c r="Y957" s="321"/>
      <c r="Z957" s="315"/>
      <c r="AA957" s="316"/>
      <c r="AB957" s="317"/>
      <c r="AC957" s="313"/>
      <c r="AD957" s="312"/>
      <c r="AE957" s="318">
        <f t="shared" si="111"/>
        <v>10000000</v>
      </c>
      <c r="AF957" s="317"/>
      <c r="AG957" s="313"/>
      <c r="AH957" s="312"/>
      <c r="AI957" s="306"/>
      <c r="AJ957" s="306"/>
      <c r="AK957" s="318">
        <f t="shared" si="110"/>
        <v>0</v>
      </c>
      <c r="AL957" s="312">
        <v>0</v>
      </c>
      <c r="AM957" s="312">
        <f t="shared" si="108"/>
        <v>0</v>
      </c>
      <c r="AN957" s="306" t="s">
        <v>1863</v>
      </c>
      <c r="AO957" s="312">
        <f t="shared" si="109"/>
        <v>10000000</v>
      </c>
      <c r="AP957" s="306" t="s">
        <v>2779</v>
      </c>
      <c r="AQ957" s="306"/>
      <c r="AR957" s="306" t="s">
        <v>2760</v>
      </c>
      <c r="AS957" s="306"/>
      <c r="AT957" s="306"/>
    </row>
    <row r="958" spans="1:46" ht="114.75" x14ac:dyDescent="0.25">
      <c r="A958" s="306">
        <v>363</v>
      </c>
      <c r="B958" s="306" t="str">
        <f t="shared" si="107"/>
        <v>3075-363</v>
      </c>
      <c r="C958" s="307" t="s">
        <v>1852</v>
      </c>
      <c r="D958" s="308" t="s">
        <v>1853</v>
      </c>
      <c r="E958" s="308" t="s">
        <v>1854</v>
      </c>
      <c r="F958" s="307" t="s">
        <v>1855</v>
      </c>
      <c r="G958" s="319" t="s">
        <v>1903</v>
      </c>
      <c r="H958" s="325" t="s">
        <v>1904</v>
      </c>
      <c r="I958" s="308" t="s">
        <v>1858</v>
      </c>
      <c r="J958" s="308" t="s">
        <v>1859</v>
      </c>
      <c r="K958" s="326" t="s">
        <v>63</v>
      </c>
      <c r="L958" s="306" t="s">
        <v>1860</v>
      </c>
      <c r="M958" s="306" t="s">
        <v>59</v>
      </c>
      <c r="N958" s="306" t="s">
        <v>60</v>
      </c>
      <c r="O958" s="308" t="s">
        <v>1899</v>
      </c>
      <c r="P958" s="308" t="s">
        <v>2792</v>
      </c>
      <c r="Q958" s="315">
        <v>9385236</v>
      </c>
      <c r="R958" s="306">
        <v>1</v>
      </c>
      <c r="S958" s="312">
        <v>9385236</v>
      </c>
      <c r="T958" s="306"/>
      <c r="U958" s="306" t="s">
        <v>1906</v>
      </c>
      <c r="V958" s="313" t="s">
        <v>2788</v>
      </c>
      <c r="W958" s="314" t="s">
        <v>63</v>
      </c>
      <c r="X958" s="306"/>
      <c r="Y958" s="321"/>
      <c r="Z958" s="315"/>
      <c r="AA958" s="316"/>
      <c r="AB958" s="317"/>
      <c r="AC958" s="313"/>
      <c r="AD958" s="312"/>
      <c r="AE958" s="318">
        <f t="shared" si="111"/>
        <v>9385236</v>
      </c>
      <c r="AF958" s="317"/>
      <c r="AG958" s="313"/>
      <c r="AH958" s="312"/>
      <c r="AI958" s="306"/>
      <c r="AJ958" s="306"/>
      <c r="AK958" s="318">
        <f t="shared" si="110"/>
        <v>0</v>
      </c>
      <c r="AL958" s="312">
        <v>0</v>
      </c>
      <c r="AM958" s="312">
        <f t="shared" si="108"/>
        <v>0</v>
      </c>
      <c r="AN958" s="306" t="s">
        <v>1863</v>
      </c>
      <c r="AO958" s="312">
        <f t="shared" si="109"/>
        <v>9385236</v>
      </c>
      <c r="AP958" s="306" t="s">
        <v>2779</v>
      </c>
      <c r="AQ958" s="306"/>
      <c r="AR958" s="306" t="s">
        <v>2760</v>
      </c>
      <c r="AS958" s="306"/>
      <c r="AT958" s="306"/>
    </row>
    <row r="959" spans="1:46" ht="102" x14ac:dyDescent="0.25">
      <c r="A959" s="306">
        <v>364</v>
      </c>
      <c r="B959" s="306" t="str">
        <f t="shared" si="107"/>
        <v>3075-364</v>
      </c>
      <c r="C959" s="307" t="s">
        <v>1852</v>
      </c>
      <c r="D959" s="308" t="s">
        <v>1853</v>
      </c>
      <c r="E959" s="308" t="s">
        <v>1854</v>
      </c>
      <c r="F959" s="307" t="s">
        <v>1855</v>
      </c>
      <c r="G959" s="319" t="s">
        <v>1903</v>
      </c>
      <c r="H959" s="325" t="s">
        <v>1904</v>
      </c>
      <c r="I959" s="308" t="s">
        <v>1858</v>
      </c>
      <c r="J959" s="308" t="s">
        <v>1859</v>
      </c>
      <c r="K959" s="326" t="s">
        <v>63</v>
      </c>
      <c r="L959" s="306" t="s">
        <v>1860</v>
      </c>
      <c r="M959" s="306" t="s">
        <v>59</v>
      </c>
      <c r="N959" s="306" t="s">
        <v>60</v>
      </c>
      <c r="O959" s="308" t="s">
        <v>1899</v>
      </c>
      <c r="P959" s="308" t="s">
        <v>1905</v>
      </c>
      <c r="Q959" s="315">
        <v>420000000</v>
      </c>
      <c r="R959" s="306">
        <v>1</v>
      </c>
      <c r="S959" s="312">
        <v>419877047</v>
      </c>
      <c r="T959" s="306"/>
      <c r="U959" s="306" t="s">
        <v>1906</v>
      </c>
      <c r="V959" s="313" t="s">
        <v>2793</v>
      </c>
      <c r="W959" s="314" t="s">
        <v>63</v>
      </c>
      <c r="X959" s="306"/>
      <c r="Y959" s="321"/>
      <c r="Z959" s="315"/>
      <c r="AA959" s="316"/>
      <c r="AB959" s="317"/>
      <c r="AC959" s="313"/>
      <c r="AD959" s="312"/>
      <c r="AE959" s="318">
        <f t="shared" si="111"/>
        <v>419877047</v>
      </c>
      <c r="AF959" s="317"/>
      <c r="AG959" s="313"/>
      <c r="AH959" s="312"/>
      <c r="AI959" s="306"/>
      <c r="AJ959" s="306"/>
      <c r="AK959" s="318">
        <f t="shared" si="110"/>
        <v>0</v>
      </c>
      <c r="AL959" s="312">
        <v>0</v>
      </c>
      <c r="AM959" s="312">
        <f t="shared" si="108"/>
        <v>0</v>
      </c>
      <c r="AN959" s="306" t="s">
        <v>1863</v>
      </c>
      <c r="AO959" s="312">
        <f t="shared" si="109"/>
        <v>419877047</v>
      </c>
      <c r="AP959" s="306" t="s">
        <v>2779</v>
      </c>
      <c r="AQ959" s="306"/>
      <c r="AR959" s="306" t="s">
        <v>2760</v>
      </c>
      <c r="AS959" s="306"/>
      <c r="AT959" s="306"/>
    </row>
    <row r="960" spans="1:46" ht="102" x14ac:dyDescent="0.25">
      <c r="A960" s="306">
        <v>365</v>
      </c>
      <c r="B960" s="306" t="str">
        <f t="shared" si="107"/>
        <v>3075-365</v>
      </c>
      <c r="C960" s="308" t="s">
        <v>1852</v>
      </c>
      <c r="D960" s="308" t="s">
        <v>1853</v>
      </c>
      <c r="E960" s="308" t="s">
        <v>1879</v>
      </c>
      <c r="F960" s="308" t="s">
        <v>1880</v>
      </c>
      <c r="G960" s="309" t="s">
        <v>1881</v>
      </c>
      <c r="H960" s="310" t="s">
        <v>1882</v>
      </c>
      <c r="I960" s="308" t="s">
        <v>1858</v>
      </c>
      <c r="J960" s="308" t="s">
        <v>1859</v>
      </c>
      <c r="K960" s="308" t="s">
        <v>63</v>
      </c>
      <c r="L960" s="306" t="s">
        <v>1860</v>
      </c>
      <c r="M960" s="306" t="s">
        <v>59</v>
      </c>
      <c r="N960" s="306" t="s">
        <v>60</v>
      </c>
      <c r="O960" s="308" t="s">
        <v>1874</v>
      </c>
      <c r="P960" s="306" t="s">
        <v>2794</v>
      </c>
      <c r="Q960" s="315">
        <v>1154000000</v>
      </c>
      <c r="R960" s="333">
        <v>1</v>
      </c>
      <c r="S960" s="312">
        <f>1154000000-1154000000</f>
        <v>0</v>
      </c>
      <c r="T960" s="306"/>
      <c r="U960" s="306" t="s">
        <v>1876</v>
      </c>
      <c r="V960" s="313"/>
      <c r="W960" s="314" t="s">
        <v>63</v>
      </c>
      <c r="X960" s="306" t="s">
        <v>2795</v>
      </c>
      <c r="Y960" s="313">
        <v>43164</v>
      </c>
      <c r="Z960" s="315">
        <f>1154000000-1154000000</f>
        <v>0</v>
      </c>
      <c r="AA960" s="316" t="s">
        <v>2796</v>
      </c>
      <c r="AB960" s="317" t="s">
        <v>2797</v>
      </c>
      <c r="AC960" s="313">
        <v>43164</v>
      </c>
      <c r="AD960" s="312">
        <v>0</v>
      </c>
      <c r="AE960" s="318">
        <f t="shared" si="111"/>
        <v>0</v>
      </c>
      <c r="AF960" s="317"/>
      <c r="AG960" s="313"/>
      <c r="AH960" s="312"/>
      <c r="AI960" s="306"/>
      <c r="AJ960" s="306"/>
      <c r="AK960" s="318">
        <f t="shared" si="110"/>
        <v>0</v>
      </c>
      <c r="AL960" s="312">
        <v>0</v>
      </c>
      <c r="AM960" s="312">
        <f t="shared" si="108"/>
        <v>0</v>
      </c>
      <c r="AN960" s="306" t="s">
        <v>1863</v>
      </c>
      <c r="AO960" s="312">
        <f t="shared" si="109"/>
        <v>0</v>
      </c>
      <c r="AP960" s="306" t="s">
        <v>2798</v>
      </c>
      <c r="AQ960" s="313">
        <v>43164</v>
      </c>
      <c r="AR960" s="306" t="s">
        <v>2760</v>
      </c>
      <c r="AS960" s="313">
        <v>43164</v>
      </c>
      <c r="AT960" s="306" t="s">
        <v>2799</v>
      </c>
    </row>
    <row r="961" spans="1:46" ht="153" x14ac:dyDescent="0.25">
      <c r="A961" s="306">
        <v>366</v>
      </c>
      <c r="B961" s="306" t="str">
        <f t="shared" si="107"/>
        <v>3075-366</v>
      </c>
      <c r="C961" s="307" t="s">
        <v>1852</v>
      </c>
      <c r="D961" s="308" t="s">
        <v>1853</v>
      </c>
      <c r="E961" s="308" t="s">
        <v>2119</v>
      </c>
      <c r="F961" s="307" t="s">
        <v>1907</v>
      </c>
      <c r="G961" s="327" t="s">
        <v>1908</v>
      </c>
      <c r="H961" s="335" t="s">
        <v>1909</v>
      </c>
      <c r="I961" s="308" t="s">
        <v>1858</v>
      </c>
      <c r="J961" s="308" t="s">
        <v>1859</v>
      </c>
      <c r="K961" s="308">
        <v>801116</v>
      </c>
      <c r="L961" s="306" t="s">
        <v>1860</v>
      </c>
      <c r="M961" s="306" t="s">
        <v>59</v>
      </c>
      <c r="N961" s="306" t="s">
        <v>60</v>
      </c>
      <c r="O961" s="308" t="s">
        <v>1910</v>
      </c>
      <c r="P961" s="329" t="s">
        <v>2800</v>
      </c>
      <c r="Q961" s="315">
        <v>3300000</v>
      </c>
      <c r="R961" s="333">
        <v>1</v>
      </c>
      <c r="S961" s="312">
        <v>9900000</v>
      </c>
      <c r="T961" s="306" t="s">
        <v>900</v>
      </c>
      <c r="U961" s="306" t="s">
        <v>1906</v>
      </c>
      <c r="V961" s="313" t="s">
        <v>294</v>
      </c>
      <c r="W961" s="314">
        <v>3</v>
      </c>
      <c r="X961" s="329" t="s">
        <v>2801</v>
      </c>
      <c r="Y961" s="313">
        <v>43164</v>
      </c>
      <c r="Z961" s="315">
        <v>9900000</v>
      </c>
      <c r="AA961" s="316" t="s">
        <v>2351</v>
      </c>
      <c r="AB961" s="317">
        <v>685</v>
      </c>
      <c r="AC961" s="313">
        <v>43165</v>
      </c>
      <c r="AD961" s="312">
        <v>9900000</v>
      </c>
      <c r="AE961" s="318">
        <f t="shared" si="111"/>
        <v>0</v>
      </c>
      <c r="AF961" s="317">
        <v>1572</v>
      </c>
      <c r="AG961" s="313">
        <v>43173</v>
      </c>
      <c r="AH961" s="312">
        <v>9900000</v>
      </c>
      <c r="AI961" s="306"/>
      <c r="AJ961" s="306"/>
      <c r="AK961" s="318">
        <f t="shared" si="110"/>
        <v>0</v>
      </c>
      <c r="AL961" s="312">
        <f>VLOOKUP(AB961,RP,13,FALSE)</f>
        <v>1760000</v>
      </c>
      <c r="AM961" s="312">
        <f t="shared" si="108"/>
        <v>8140000</v>
      </c>
      <c r="AN961" s="306" t="s">
        <v>1863</v>
      </c>
      <c r="AO961" s="312">
        <f t="shared" si="109"/>
        <v>0</v>
      </c>
      <c r="AP961" s="306"/>
      <c r="AQ961" s="313">
        <v>43164</v>
      </c>
      <c r="AR961" s="306" t="s">
        <v>2760</v>
      </c>
      <c r="AS961" s="313">
        <v>43164</v>
      </c>
      <c r="AT961" s="306" t="s">
        <v>2134</v>
      </c>
    </row>
    <row r="962" spans="1:46" ht="165.75" x14ac:dyDescent="0.25">
      <c r="A962" s="306">
        <v>367</v>
      </c>
      <c r="B962" s="306" t="str">
        <f t="shared" si="107"/>
        <v>3075-367</v>
      </c>
      <c r="C962" s="307" t="s">
        <v>1852</v>
      </c>
      <c r="D962" s="308" t="s">
        <v>1853</v>
      </c>
      <c r="E962" s="308" t="s">
        <v>2119</v>
      </c>
      <c r="F962" s="307" t="s">
        <v>1907</v>
      </c>
      <c r="G962" s="327" t="s">
        <v>1908</v>
      </c>
      <c r="H962" s="335" t="s">
        <v>1909</v>
      </c>
      <c r="I962" s="308" t="s">
        <v>1858</v>
      </c>
      <c r="J962" s="308" t="s">
        <v>1859</v>
      </c>
      <c r="K962" s="308">
        <v>801116</v>
      </c>
      <c r="L962" s="306" t="s">
        <v>1860</v>
      </c>
      <c r="M962" s="306" t="s">
        <v>59</v>
      </c>
      <c r="N962" s="306" t="s">
        <v>60</v>
      </c>
      <c r="O962" s="308" t="s">
        <v>1910</v>
      </c>
      <c r="P962" s="329" t="s">
        <v>2802</v>
      </c>
      <c r="Q962" s="315">
        <v>5100000</v>
      </c>
      <c r="R962" s="333">
        <v>1</v>
      </c>
      <c r="S962" s="312">
        <v>15300000</v>
      </c>
      <c r="T962" s="306" t="s">
        <v>900</v>
      </c>
      <c r="U962" s="306" t="s">
        <v>1906</v>
      </c>
      <c r="V962" s="313" t="s">
        <v>294</v>
      </c>
      <c r="W962" s="314">
        <v>3</v>
      </c>
      <c r="X962" s="329" t="s">
        <v>2803</v>
      </c>
      <c r="Y962" s="313">
        <v>43164</v>
      </c>
      <c r="Z962" s="315">
        <v>15300000</v>
      </c>
      <c r="AA962" s="316" t="s">
        <v>2351</v>
      </c>
      <c r="AB962" s="317">
        <v>686</v>
      </c>
      <c r="AC962" s="313">
        <v>43165</v>
      </c>
      <c r="AD962" s="312">
        <v>15300000</v>
      </c>
      <c r="AE962" s="318">
        <f t="shared" si="111"/>
        <v>0</v>
      </c>
      <c r="AF962" s="317">
        <v>1575</v>
      </c>
      <c r="AG962" s="313">
        <v>43173</v>
      </c>
      <c r="AH962" s="312">
        <v>15300000</v>
      </c>
      <c r="AI962" s="306"/>
      <c r="AJ962" s="306"/>
      <c r="AK962" s="318">
        <f t="shared" si="110"/>
        <v>0</v>
      </c>
      <c r="AL962" s="312">
        <f>VLOOKUP(AB962,RP,13,FALSE)</f>
        <v>2720000</v>
      </c>
      <c r="AM962" s="312">
        <f t="shared" si="108"/>
        <v>12580000</v>
      </c>
      <c r="AN962" s="306" t="s">
        <v>1863</v>
      </c>
      <c r="AO962" s="312">
        <f t="shared" si="109"/>
        <v>0</v>
      </c>
      <c r="AP962" s="306"/>
      <c r="AQ962" s="313">
        <v>43164</v>
      </c>
      <c r="AR962" s="306" t="s">
        <v>2760</v>
      </c>
      <c r="AS962" s="313">
        <v>43164</v>
      </c>
      <c r="AT962" s="306" t="s">
        <v>2134</v>
      </c>
    </row>
    <row r="963" spans="1:46" ht="191.25" x14ac:dyDescent="0.25">
      <c r="A963" s="306">
        <v>368</v>
      </c>
      <c r="B963" s="306" t="str">
        <f t="shared" si="107"/>
        <v>3075-368</v>
      </c>
      <c r="C963" s="307" t="s">
        <v>1852</v>
      </c>
      <c r="D963" s="308" t="s">
        <v>1853</v>
      </c>
      <c r="E963" s="308" t="s">
        <v>2119</v>
      </c>
      <c r="F963" s="307" t="s">
        <v>1880</v>
      </c>
      <c r="G963" s="327" t="s">
        <v>1881</v>
      </c>
      <c r="H963" s="335" t="s">
        <v>2120</v>
      </c>
      <c r="I963" s="308" t="s">
        <v>1858</v>
      </c>
      <c r="J963" s="308" t="s">
        <v>1859</v>
      </c>
      <c r="K963" s="308" t="s">
        <v>63</v>
      </c>
      <c r="L963" s="306" t="s">
        <v>1860</v>
      </c>
      <c r="M963" s="306" t="s">
        <v>59</v>
      </c>
      <c r="N963" s="306" t="s">
        <v>60</v>
      </c>
      <c r="O963" s="308" t="s">
        <v>1910</v>
      </c>
      <c r="P963" s="329" t="s">
        <v>2804</v>
      </c>
      <c r="Q963" s="315">
        <v>54686940</v>
      </c>
      <c r="R963" s="333">
        <v>1</v>
      </c>
      <c r="S963" s="312">
        <v>54686940</v>
      </c>
      <c r="T963" s="306"/>
      <c r="U963" s="306" t="s">
        <v>1876</v>
      </c>
      <c r="V963" s="320" t="s">
        <v>302</v>
      </c>
      <c r="W963" s="314" t="s">
        <v>63</v>
      </c>
      <c r="X963" s="329" t="s">
        <v>2805</v>
      </c>
      <c r="Y963" s="313">
        <v>43164</v>
      </c>
      <c r="Z963" s="315">
        <v>54686940</v>
      </c>
      <c r="AA963" s="316" t="s">
        <v>2402</v>
      </c>
      <c r="AB963" s="317">
        <v>701</v>
      </c>
      <c r="AC963" s="313">
        <v>43167</v>
      </c>
      <c r="AD963" s="312">
        <v>54686940</v>
      </c>
      <c r="AE963" s="318">
        <v>0</v>
      </c>
      <c r="AF963" s="317"/>
      <c r="AG963" s="313"/>
      <c r="AH963" s="312"/>
      <c r="AI963" s="306"/>
      <c r="AJ963" s="306"/>
      <c r="AK963" s="318">
        <f t="shared" si="110"/>
        <v>54686940</v>
      </c>
      <c r="AL963" s="312">
        <v>0</v>
      </c>
      <c r="AM963" s="312">
        <f t="shared" si="108"/>
        <v>0</v>
      </c>
      <c r="AN963" s="306" t="s">
        <v>1863</v>
      </c>
      <c r="AO963" s="312">
        <f t="shared" si="109"/>
        <v>54686940</v>
      </c>
      <c r="AP963" s="306"/>
      <c r="AQ963" s="313">
        <v>43164</v>
      </c>
      <c r="AR963" s="306" t="s">
        <v>2760</v>
      </c>
      <c r="AS963" s="313">
        <v>43164</v>
      </c>
      <c r="AT963" s="306" t="s">
        <v>2804</v>
      </c>
    </row>
    <row r="964" spans="1:46" ht="191.25" x14ac:dyDescent="0.25">
      <c r="A964" s="306">
        <v>369</v>
      </c>
      <c r="B964" s="306" t="str">
        <f t="shared" si="107"/>
        <v>3075-369</v>
      </c>
      <c r="C964" s="307" t="s">
        <v>1852</v>
      </c>
      <c r="D964" s="308" t="s">
        <v>1853</v>
      </c>
      <c r="E964" s="308" t="s">
        <v>2119</v>
      </c>
      <c r="F964" s="307" t="s">
        <v>1880</v>
      </c>
      <c r="G964" s="327" t="s">
        <v>1881</v>
      </c>
      <c r="H964" s="335" t="s">
        <v>2120</v>
      </c>
      <c r="I964" s="308" t="s">
        <v>1858</v>
      </c>
      <c r="J964" s="308" t="s">
        <v>1859</v>
      </c>
      <c r="K964" s="308" t="s">
        <v>63</v>
      </c>
      <c r="L964" s="306" t="s">
        <v>1860</v>
      </c>
      <c r="M964" s="306" t="s">
        <v>59</v>
      </c>
      <c r="N964" s="306" t="s">
        <v>60</v>
      </c>
      <c r="O964" s="308" t="s">
        <v>1910</v>
      </c>
      <c r="P964" s="329" t="s">
        <v>2806</v>
      </c>
      <c r="Q964" s="315">
        <v>54686940</v>
      </c>
      <c r="R964" s="333">
        <v>1</v>
      </c>
      <c r="S964" s="312">
        <v>54686940</v>
      </c>
      <c r="T964" s="306" t="s">
        <v>1876</v>
      </c>
      <c r="U964" s="306" t="s">
        <v>1876</v>
      </c>
      <c r="V964" s="313" t="s">
        <v>294</v>
      </c>
      <c r="W964" s="314" t="s">
        <v>63</v>
      </c>
      <c r="X964" s="329" t="s">
        <v>2807</v>
      </c>
      <c r="Y964" s="313">
        <v>43164</v>
      </c>
      <c r="Z964" s="312">
        <v>54686940</v>
      </c>
      <c r="AA964" s="316" t="s">
        <v>2402</v>
      </c>
      <c r="AB964" s="317">
        <v>702</v>
      </c>
      <c r="AC964" s="313">
        <v>43167</v>
      </c>
      <c r="AD964" s="312">
        <v>54686940</v>
      </c>
      <c r="AE964" s="318">
        <v>0</v>
      </c>
      <c r="AF964" s="317">
        <v>1622</v>
      </c>
      <c r="AG964" s="313">
        <v>43182</v>
      </c>
      <c r="AH964" s="312">
        <v>54686940</v>
      </c>
      <c r="AI964" s="306" t="s">
        <v>2808</v>
      </c>
      <c r="AJ964" s="306">
        <v>1630</v>
      </c>
      <c r="AK964" s="318">
        <f t="shared" si="110"/>
        <v>0</v>
      </c>
      <c r="AL964" s="312">
        <f t="shared" ref="AL964:AL974" si="112">VLOOKUP(AB964,RP,13,FALSE)</f>
        <v>0</v>
      </c>
      <c r="AM964" s="312">
        <f t="shared" si="108"/>
        <v>54686940</v>
      </c>
      <c r="AN964" s="306" t="s">
        <v>1863</v>
      </c>
      <c r="AO964" s="312">
        <f t="shared" si="109"/>
        <v>0</v>
      </c>
      <c r="AP964" s="306"/>
      <c r="AQ964" s="313">
        <v>43164</v>
      </c>
      <c r="AR964" s="306" t="s">
        <v>2760</v>
      </c>
      <c r="AS964" s="313">
        <v>43164</v>
      </c>
      <c r="AT964" s="306" t="str">
        <f>P964</f>
        <v>Asignacion del instrumento financiero a las familias ocupantes del predio que hayan superado la fase de verificacion dentro del marco del Decreto 457 de 2017. LOCALIDAD: KENNEDY; BARRIO: VEREDITAS; ID: 2018-8-384287</v>
      </c>
    </row>
    <row r="965" spans="1:46" ht="153" x14ac:dyDescent="0.25">
      <c r="A965" s="306">
        <v>370</v>
      </c>
      <c r="B965" s="306" t="str">
        <f t="shared" si="107"/>
        <v>3075-370</v>
      </c>
      <c r="C965" s="307" t="s">
        <v>1852</v>
      </c>
      <c r="D965" s="308" t="s">
        <v>1853</v>
      </c>
      <c r="E965" s="308" t="s">
        <v>2119</v>
      </c>
      <c r="F965" s="307" t="s">
        <v>1907</v>
      </c>
      <c r="G965" s="327" t="s">
        <v>1908</v>
      </c>
      <c r="H965" s="335" t="s">
        <v>1909</v>
      </c>
      <c r="I965" s="308" t="s">
        <v>1858</v>
      </c>
      <c r="J965" s="308" t="s">
        <v>1859</v>
      </c>
      <c r="K965" s="308">
        <v>801116</v>
      </c>
      <c r="L965" s="306" t="s">
        <v>1860</v>
      </c>
      <c r="M965" s="306" t="s">
        <v>59</v>
      </c>
      <c r="N965" s="306" t="s">
        <v>60</v>
      </c>
      <c r="O965" s="308" t="s">
        <v>1910</v>
      </c>
      <c r="P965" s="329" t="s">
        <v>2809</v>
      </c>
      <c r="Q965" s="315">
        <v>4000000</v>
      </c>
      <c r="R965" s="333">
        <v>1</v>
      </c>
      <c r="S965" s="312">
        <v>12000000</v>
      </c>
      <c r="T965" s="306" t="s">
        <v>900</v>
      </c>
      <c r="U965" s="306" t="s">
        <v>1906</v>
      </c>
      <c r="V965" s="313" t="s">
        <v>294</v>
      </c>
      <c r="W965" s="314">
        <v>3</v>
      </c>
      <c r="X965" s="329" t="s">
        <v>2810</v>
      </c>
      <c r="Y965" s="313">
        <v>43164</v>
      </c>
      <c r="Z965" s="315">
        <v>12000000</v>
      </c>
      <c r="AA965" s="316" t="s">
        <v>2351</v>
      </c>
      <c r="AB965" s="317">
        <v>687</v>
      </c>
      <c r="AC965" s="313">
        <v>43165</v>
      </c>
      <c r="AD965" s="312">
        <v>12000000</v>
      </c>
      <c r="AE965" s="318">
        <f t="shared" ref="AE965:AE1012" si="113">S965-Z965</f>
        <v>0</v>
      </c>
      <c r="AF965" s="317">
        <v>1555</v>
      </c>
      <c r="AG965" s="313">
        <v>43172</v>
      </c>
      <c r="AH965" s="312">
        <v>12000000</v>
      </c>
      <c r="AI965" s="306"/>
      <c r="AJ965" s="306"/>
      <c r="AK965" s="318">
        <f t="shared" si="110"/>
        <v>0</v>
      </c>
      <c r="AL965" s="312">
        <f t="shared" si="112"/>
        <v>2266667</v>
      </c>
      <c r="AM965" s="312">
        <f t="shared" si="108"/>
        <v>9733333</v>
      </c>
      <c r="AN965" s="306" t="s">
        <v>1863</v>
      </c>
      <c r="AO965" s="312">
        <f t="shared" si="109"/>
        <v>0</v>
      </c>
      <c r="AP965" s="306"/>
      <c r="AQ965" s="313">
        <v>43164</v>
      </c>
      <c r="AR965" s="306" t="s">
        <v>2760</v>
      </c>
      <c r="AS965" s="313">
        <v>43164</v>
      </c>
      <c r="AT965" s="306" t="s">
        <v>2134</v>
      </c>
    </row>
    <row r="966" spans="1:46" ht="153" x14ac:dyDescent="0.25">
      <c r="A966" s="306">
        <v>371</v>
      </c>
      <c r="B966" s="306" t="str">
        <f t="shared" si="107"/>
        <v>3075-371</v>
      </c>
      <c r="C966" s="307" t="s">
        <v>1852</v>
      </c>
      <c r="D966" s="308" t="s">
        <v>1853</v>
      </c>
      <c r="E966" s="308" t="s">
        <v>2119</v>
      </c>
      <c r="F966" s="307" t="s">
        <v>1907</v>
      </c>
      <c r="G966" s="327" t="s">
        <v>1908</v>
      </c>
      <c r="H966" s="335" t="s">
        <v>1909</v>
      </c>
      <c r="I966" s="308" t="s">
        <v>1858</v>
      </c>
      <c r="J966" s="308" t="s">
        <v>1859</v>
      </c>
      <c r="K966" s="308">
        <v>801116</v>
      </c>
      <c r="L966" s="306" t="s">
        <v>1860</v>
      </c>
      <c r="M966" s="306" t="s">
        <v>59</v>
      </c>
      <c r="N966" s="306" t="s">
        <v>60</v>
      </c>
      <c r="O966" s="308" t="s">
        <v>1910</v>
      </c>
      <c r="P966" s="329" t="s">
        <v>2811</v>
      </c>
      <c r="Q966" s="315">
        <v>5500000</v>
      </c>
      <c r="R966" s="333">
        <v>1</v>
      </c>
      <c r="S966" s="312">
        <v>16500000</v>
      </c>
      <c r="T966" s="306" t="s">
        <v>900</v>
      </c>
      <c r="U966" s="306" t="s">
        <v>1906</v>
      </c>
      <c r="V966" s="313" t="s">
        <v>294</v>
      </c>
      <c r="W966" s="314">
        <v>3</v>
      </c>
      <c r="X966" s="329" t="s">
        <v>2812</v>
      </c>
      <c r="Y966" s="313">
        <v>43164</v>
      </c>
      <c r="Z966" s="315">
        <v>16500000</v>
      </c>
      <c r="AA966" s="316" t="s">
        <v>2351</v>
      </c>
      <c r="AB966" s="317">
        <v>692</v>
      </c>
      <c r="AC966" s="313">
        <v>43165</v>
      </c>
      <c r="AD966" s="312">
        <v>16500000</v>
      </c>
      <c r="AE966" s="318">
        <f t="shared" si="113"/>
        <v>0</v>
      </c>
      <c r="AF966" s="317">
        <v>1573</v>
      </c>
      <c r="AG966" s="313">
        <v>43173</v>
      </c>
      <c r="AH966" s="312">
        <v>16500000</v>
      </c>
      <c r="AI966" s="306"/>
      <c r="AJ966" s="306"/>
      <c r="AK966" s="318">
        <f t="shared" si="110"/>
        <v>0</v>
      </c>
      <c r="AL966" s="312">
        <f t="shared" si="112"/>
        <v>2933333</v>
      </c>
      <c r="AM966" s="312">
        <f t="shared" si="108"/>
        <v>13566667</v>
      </c>
      <c r="AN966" s="306" t="s">
        <v>1863</v>
      </c>
      <c r="AO966" s="312">
        <f t="shared" si="109"/>
        <v>0</v>
      </c>
      <c r="AP966" s="306"/>
      <c r="AQ966" s="313">
        <v>43164</v>
      </c>
      <c r="AR966" s="306" t="s">
        <v>2760</v>
      </c>
      <c r="AS966" s="313">
        <v>43164</v>
      </c>
      <c r="AT966" s="306" t="s">
        <v>2134</v>
      </c>
    </row>
    <row r="967" spans="1:46" ht="165.75" x14ac:dyDescent="0.25">
      <c r="A967" s="306">
        <v>372</v>
      </c>
      <c r="B967" s="306" t="str">
        <f t="shared" si="107"/>
        <v>3075-372</v>
      </c>
      <c r="C967" s="307" t="s">
        <v>1852</v>
      </c>
      <c r="D967" s="308" t="s">
        <v>1853</v>
      </c>
      <c r="E967" s="308" t="s">
        <v>2119</v>
      </c>
      <c r="F967" s="307" t="s">
        <v>1907</v>
      </c>
      <c r="G967" s="327" t="s">
        <v>1908</v>
      </c>
      <c r="H967" s="335" t="s">
        <v>1909</v>
      </c>
      <c r="I967" s="308" t="s">
        <v>1858</v>
      </c>
      <c r="J967" s="308" t="s">
        <v>1859</v>
      </c>
      <c r="K967" s="308">
        <v>801116</v>
      </c>
      <c r="L967" s="306" t="s">
        <v>1860</v>
      </c>
      <c r="M967" s="306" t="s">
        <v>59</v>
      </c>
      <c r="N967" s="306" t="s">
        <v>60</v>
      </c>
      <c r="O967" s="308" t="s">
        <v>1910</v>
      </c>
      <c r="P967" s="329" t="s">
        <v>2813</v>
      </c>
      <c r="Q967" s="315">
        <v>4000000</v>
      </c>
      <c r="R967" s="333">
        <v>1</v>
      </c>
      <c r="S967" s="312">
        <v>12000000</v>
      </c>
      <c r="T967" s="306" t="s">
        <v>900</v>
      </c>
      <c r="U967" s="306" t="s">
        <v>1906</v>
      </c>
      <c r="V967" s="313" t="s">
        <v>294</v>
      </c>
      <c r="W967" s="314">
        <v>3</v>
      </c>
      <c r="X967" s="329" t="s">
        <v>2814</v>
      </c>
      <c r="Y967" s="313">
        <v>43164</v>
      </c>
      <c r="Z967" s="315">
        <v>12000000</v>
      </c>
      <c r="AA967" s="316" t="s">
        <v>2351</v>
      </c>
      <c r="AB967" s="317">
        <v>695</v>
      </c>
      <c r="AC967" s="313">
        <v>43165</v>
      </c>
      <c r="AD967" s="312">
        <v>12000000</v>
      </c>
      <c r="AE967" s="318">
        <f t="shared" si="113"/>
        <v>0</v>
      </c>
      <c r="AF967" s="317">
        <v>1597</v>
      </c>
      <c r="AG967" s="313">
        <v>43175</v>
      </c>
      <c r="AH967" s="312">
        <v>12000000</v>
      </c>
      <c r="AI967" s="306"/>
      <c r="AJ967" s="306"/>
      <c r="AK967" s="318">
        <f t="shared" si="110"/>
        <v>0</v>
      </c>
      <c r="AL967" s="312">
        <f t="shared" si="112"/>
        <v>1733333</v>
      </c>
      <c r="AM967" s="312">
        <f t="shared" si="108"/>
        <v>10266667</v>
      </c>
      <c r="AN967" s="306" t="s">
        <v>1863</v>
      </c>
      <c r="AO967" s="312">
        <f t="shared" si="109"/>
        <v>0</v>
      </c>
      <c r="AP967" s="306"/>
      <c r="AQ967" s="313">
        <v>43164</v>
      </c>
      <c r="AR967" s="306" t="s">
        <v>2760</v>
      </c>
      <c r="AS967" s="313">
        <v>43164</v>
      </c>
      <c r="AT967" s="306" t="s">
        <v>2134</v>
      </c>
    </row>
    <row r="968" spans="1:46" ht="153" x14ac:dyDescent="0.25">
      <c r="A968" s="306">
        <v>373</v>
      </c>
      <c r="B968" s="306" t="str">
        <f t="shared" si="107"/>
        <v>3075-373</v>
      </c>
      <c r="C968" s="307" t="s">
        <v>1852</v>
      </c>
      <c r="D968" s="308" t="s">
        <v>1853</v>
      </c>
      <c r="E968" s="308" t="s">
        <v>2119</v>
      </c>
      <c r="F968" s="307" t="s">
        <v>1907</v>
      </c>
      <c r="G968" s="327" t="s">
        <v>1908</v>
      </c>
      <c r="H968" s="335" t="s">
        <v>1909</v>
      </c>
      <c r="I968" s="308" t="s">
        <v>1858</v>
      </c>
      <c r="J968" s="308" t="s">
        <v>1859</v>
      </c>
      <c r="K968" s="308">
        <v>801116</v>
      </c>
      <c r="L968" s="306" t="s">
        <v>1860</v>
      </c>
      <c r="M968" s="306" t="s">
        <v>59</v>
      </c>
      <c r="N968" s="306" t="s">
        <v>60</v>
      </c>
      <c r="O968" s="308" t="s">
        <v>1910</v>
      </c>
      <c r="P968" s="329" t="s">
        <v>2815</v>
      </c>
      <c r="Q968" s="315">
        <v>5100000</v>
      </c>
      <c r="R968" s="333">
        <v>1</v>
      </c>
      <c r="S968" s="312">
        <v>15300000</v>
      </c>
      <c r="T968" s="306" t="s">
        <v>900</v>
      </c>
      <c r="U968" s="306" t="s">
        <v>1906</v>
      </c>
      <c r="V968" s="313" t="s">
        <v>294</v>
      </c>
      <c r="W968" s="314">
        <v>3</v>
      </c>
      <c r="X968" s="329" t="s">
        <v>2816</v>
      </c>
      <c r="Y968" s="313">
        <v>43164</v>
      </c>
      <c r="Z968" s="315">
        <v>15300000</v>
      </c>
      <c r="AA968" s="316" t="s">
        <v>2351</v>
      </c>
      <c r="AB968" s="317">
        <v>694</v>
      </c>
      <c r="AC968" s="313">
        <v>43165</v>
      </c>
      <c r="AD968" s="312">
        <v>15300000</v>
      </c>
      <c r="AE968" s="318">
        <f t="shared" si="113"/>
        <v>0</v>
      </c>
      <c r="AF968" s="317">
        <v>1576</v>
      </c>
      <c r="AG968" s="313">
        <v>43173</v>
      </c>
      <c r="AH968" s="312">
        <v>15300000</v>
      </c>
      <c r="AI968" s="306"/>
      <c r="AJ968" s="306"/>
      <c r="AK968" s="318">
        <f t="shared" si="110"/>
        <v>0</v>
      </c>
      <c r="AL968" s="312">
        <f t="shared" si="112"/>
        <v>2720000</v>
      </c>
      <c r="AM968" s="312">
        <f t="shared" si="108"/>
        <v>12580000</v>
      </c>
      <c r="AN968" s="306" t="s">
        <v>1863</v>
      </c>
      <c r="AO968" s="312">
        <f t="shared" si="109"/>
        <v>0</v>
      </c>
      <c r="AP968" s="306"/>
      <c r="AQ968" s="313">
        <v>43164</v>
      </c>
      <c r="AR968" s="306" t="s">
        <v>2760</v>
      </c>
      <c r="AS968" s="313">
        <v>43164</v>
      </c>
      <c r="AT968" s="306" t="s">
        <v>2134</v>
      </c>
    </row>
    <row r="969" spans="1:46" ht="153" x14ac:dyDescent="0.25">
      <c r="A969" s="306">
        <v>374</v>
      </c>
      <c r="B969" s="306" t="str">
        <f t="shared" si="107"/>
        <v>3075-374</v>
      </c>
      <c r="C969" s="307" t="s">
        <v>1852</v>
      </c>
      <c r="D969" s="308" t="s">
        <v>1853</v>
      </c>
      <c r="E969" s="308" t="s">
        <v>2119</v>
      </c>
      <c r="F969" s="307" t="s">
        <v>1907</v>
      </c>
      <c r="G969" s="327" t="s">
        <v>1908</v>
      </c>
      <c r="H969" s="335" t="s">
        <v>1909</v>
      </c>
      <c r="I969" s="308" t="s">
        <v>1858</v>
      </c>
      <c r="J969" s="308" t="s">
        <v>1859</v>
      </c>
      <c r="K969" s="308">
        <v>801116</v>
      </c>
      <c r="L969" s="306" t="s">
        <v>1860</v>
      </c>
      <c r="M969" s="306" t="s">
        <v>59</v>
      </c>
      <c r="N969" s="306" t="s">
        <v>60</v>
      </c>
      <c r="O969" s="308" t="s">
        <v>1910</v>
      </c>
      <c r="P969" s="329" t="s">
        <v>2817</v>
      </c>
      <c r="Q969" s="315">
        <v>5100000</v>
      </c>
      <c r="R969" s="333">
        <v>1</v>
      </c>
      <c r="S969" s="312">
        <v>15300000</v>
      </c>
      <c r="T969" s="306" t="s">
        <v>900</v>
      </c>
      <c r="U969" s="306" t="s">
        <v>1906</v>
      </c>
      <c r="V969" s="313" t="s">
        <v>294</v>
      </c>
      <c r="W969" s="314">
        <v>3</v>
      </c>
      <c r="X969" s="329" t="s">
        <v>2818</v>
      </c>
      <c r="Y969" s="313">
        <v>43164</v>
      </c>
      <c r="Z969" s="315">
        <v>15300000</v>
      </c>
      <c r="AA969" s="316" t="s">
        <v>2351</v>
      </c>
      <c r="AB969" s="317">
        <v>696</v>
      </c>
      <c r="AC969" s="313">
        <v>43165</v>
      </c>
      <c r="AD969" s="312">
        <v>15300000</v>
      </c>
      <c r="AE969" s="318">
        <f t="shared" si="113"/>
        <v>0</v>
      </c>
      <c r="AF969" s="317">
        <v>1599</v>
      </c>
      <c r="AG969" s="313">
        <v>43175</v>
      </c>
      <c r="AH969" s="312">
        <v>15300000</v>
      </c>
      <c r="AI969" s="306"/>
      <c r="AJ969" s="306"/>
      <c r="AK969" s="318">
        <f t="shared" si="110"/>
        <v>0</v>
      </c>
      <c r="AL969" s="312">
        <f t="shared" si="112"/>
        <v>1870000</v>
      </c>
      <c r="AM969" s="312">
        <f t="shared" si="108"/>
        <v>13430000</v>
      </c>
      <c r="AN969" s="306" t="s">
        <v>1863</v>
      </c>
      <c r="AO969" s="312">
        <f t="shared" si="109"/>
        <v>0</v>
      </c>
      <c r="AP969" s="306"/>
      <c r="AQ969" s="313">
        <v>43164</v>
      </c>
      <c r="AR969" s="306" t="s">
        <v>2760</v>
      </c>
      <c r="AS969" s="313">
        <v>43164</v>
      </c>
      <c r="AT969" s="306" t="s">
        <v>2134</v>
      </c>
    </row>
    <row r="970" spans="1:46" ht="153" x14ac:dyDescent="0.25">
      <c r="A970" s="306">
        <v>375</v>
      </c>
      <c r="B970" s="306" t="str">
        <f t="shared" si="107"/>
        <v>3075-375</v>
      </c>
      <c r="C970" s="307" t="s">
        <v>1852</v>
      </c>
      <c r="D970" s="308" t="s">
        <v>1853</v>
      </c>
      <c r="E970" s="308" t="s">
        <v>2119</v>
      </c>
      <c r="F970" s="307" t="s">
        <v>1907</v>
      </c>
      <c r="G970" s="327" t="s">
        <v>1908</v>
      </c>
      <c r="H970" s="335" t="s">
        <v>1909</v>
      </c>
      <c r="I970" s="308" t="s">
        <v>1858</v>
      </c>
      <c r="J970" s="308" t="s">
        <v>1859</v>
      </c>
      <c r="K970" s="308">
        <v>801116</v>
      </c>
      <c r="L970" s="306" t="s">
        <v>1860</v>
      </c>
      <c r="M970" s="306" t="s">
        <v>59</v>
      </c>
      <c r="N970" s="306" t="s">
        <v>60</v>
      </c>
      <c r="O970" s="308" t="s">
        <v>1910</v>
      </c>
      <c r="P970" s="329" t="s">
        <v>2819</v>
      </c>
      <c r="Q970" s="315">
        <v>3300000</v>
      </c>
      <c r="R970" s="333">
        <v>1</v>
      </c>
      <c r="S970" s="312">
        <v>9900000</v>
      </c>
      <c r="T970" s="306" t="s">
        <v>900</v>
      </c>
      <c r="U970" s="306" t="s">
        <v>1906</v>
      </c>
      <c r="V970" s="313" t="s">
        <v>294</v>
      </c>
      <c r="W970" s="314">
        <v>3</v>
      </c>
      <c r="X970" s="329" t="s">
        <v>2820</v>
      </c>
      <c r="Y970" s="313">
        <v>43164</v>
      </c>
      <c r="Z970" s="312">
        <v>9900000</v>
      </c>
      <c r="AA970" s="316" t="s">
        <v>2351</v>
      </c>
      <c r="AB970" s="317">
        <v>690</v>
      </c>
      <c r="AC970" s="313">
        <v>43165</v>
      </c>
      <c r="AD970" s="312">
        <v>9900000</v>
      </c>
      <c r="AE970" s="318">
        <f t="shared" si="113"/>
        <v>0</v>
      </c>
      <c r="AF970" s="317">
        <v>1594</v>
      </c>
      <c r="AG970" s="313">
        <v>43175</v>
      </c>
      <c r="AH970" s="312">
        <v>9900000</v>
      </c>
      <c r="AI970" s="306"/>
      <c r="AJ970" s="306"/>
      <c r="AK970" s="318">
        <f t="shared" si="110"/>
        <v>0</v>
      </c>
      <c r="AL970" s="312">
        <f t="shared" si="112"/>
        <v>1430000</v>
      </c>
      <c r="AM970" s="312">
        <f t="shared" si="108"/>
        <v>8470000</v>
      </c>
      <c r="AN970" s="306" t="s">
        <v>1863</v>
      </c>
      <c r="AO970" s="312">
        <f t="shared" si="109"/>
        <v>0</v>
      </c>
      <c r="AP970" s="306"/>
      <c r="AQ970" s="313">
        <v>43164</v>
      </c>
      <c r="AR970" s="306" t="s">
        <v>2760</v>
      </c>
      <c r="AS970" s="313">
        <v>43164</v>
      </c>
      <c r="AT970" s="306" t="s">
        <v>2134</v>
      </c>
    </row>
    <row r="971" spans="1:46" ht="153" x14ac:dyDescent="0.25">
      <c r="A971" s="306">
        <v>376</v>
      </c>
      <c r="B971" s="306" t="str">
        <f t="shared" si="107"/>
        <v>3075-376</v>
      </c>
      <c r="C971" s="307" t="s">
        <v>1852</v>
      </c>
      <c r="D971" s="308" t="s">
        <v>1853</v>
      </c>
      <c r="E971" s="308" t="s">
        <v>2119</v>
      </c>
      <c r="F971" s="307" t="s">
        <v>1907</v>
      </c>
      <c r="G971" s="327" t="s">
        <v>1908</v>
      </c>
      <c r="H971" s="335" t="s">
        <v>1909</v>
      </c>
      <c r="I971" s="308" t="s">
        <v>1858</v>
      </c>
      <c r="J971" s="308" t="s">
        <v>1859</v>
      </c>
      <c r="K971" s="308">
        <v>801116</v>
      </c>
      <c r="L971" s="306" t="s">
        <v>1860</v>
      </c>
      <c r="M971" s="306" t="s">
        <v>59</v>
      </c>
      <c r="N971" s="306" t="s">
        <v>60</v>
      </c>
      <c r="O971" s="308" t="s">
        <v>1910</v>
      </c>
      <c r="P971" s="329" t="s">
        <v>2821</v>
      </c>
      <c r="Q971" s="315">
        <v>3300000</v>
      </c>
      <c r="R971" s="333">
        <v>1</v>
      </c>
      <c r="S971" s="312">
        <v>9900000</v>
      </c>
      <c r="T971" s="306" t="s">
        <v>900</v>
      </c>
      <c r="U971" s="306" t="s">
        <v>1906</v>
      </c>
      <c r="V971" s="313" t="s">
        <v>294</v>
      </c>
      <c r="W971" s="314">
        <v>3</v>
      </c>
      <c r="X971" s="329" t="s">
        <v>2822</v>
      </c>
      <c r="Y971" s="313">
        <v>43164</v>
      </c>
      <c r="Z971" s="315">
        <v>9900000</v>
      </c>
      <c r="AA971" s="316" t="s">
        <v>2351</v>
      </c>
      <c r="AB971" s="317">
        <v>691</v>
      </c>
      <c r="AC971" s="313">
        <v>43165</v>
      </c>
      <c r="AD971" s="312">
        <v>9900000</v>
      </c>
      <c r="AE971" s="318">
        <f t="shared" si="113"/>
        <v>0</v>
      </c>
      <c r="AF971" s="317">
        <v>1591</v>
      </c>
      <c r="AG971" s="313">
        <v>43175</v>
      </c>
      <c r="AH971" s="312">
        <v>9900000</v>
      </c>
      <c r="AI971" s="306"/>
      <c r="AJ971" s="306"/>
      <c r="AK971" s="318">
        <f t="shared" si="110"/>
        <v>0</v>
      </c>
      <c r="AL971" s="312">
        <f t="shared" si="112"/>
        <v>1430000</v>
      </c>
      <c r="AM971" s="312">
        <f t="shared" si="108"/>
        <v>8470000</v>
      </c>
      <c r="AN971" s="306" t="s">
        <v>1863</v>
      </c>
      <c r="AO971" s="312">
        <f t="shared" si="109"/>
        <v>0</v>
      </c>
      <c r="AP971" s="306"/>
      <c r="AQ971" s="313">
        <v>43164</v>
      </c>
      <c r="AR971" s="306" t="s">
        <v>2760</v>
      </c>
      <c r="AS971" s="313">
        <v>43164</v>
      </c>
      <c r="AT971" s="306" t="s">
        <v>2134</v>
      </c>
    </row>
    <row r="972" spans="1:46" ht="165.75" x14ac:dyDescent="0.25">
      <c r="A972" s="306">
        <v>377</v>
      </c>
      <c r="B972" s="306" t="str">
        <f t="shared" si="107"/>
        <v>3075-377</v>
      </c>
      <c r="C972" s="307" t="s">
        <v>1852</v>
      </c>
      <c r="D972" s="308" t="s">
        <v>1853</v>
      </c>
      <c r="E972" s="308" t="s">
        <v>2119</v>
      </c>
      <c r="F972" s="307" t="s">
        <v>1907</v>
      </c>
      <c r="G972" s="327" t="s">
        <v>1908</v>
      </c>
      <c r="H972" s="335" t="s">
        <v>1909</v>
      </c>
      <c r="I972" s="308" t="s">
        <v>1858</v>
      </c>
      <c r="J972" s="308" t="s">
        <v>1859</v>
      </c>
      <c r="K972" s="308">
        <v>801116</v>
      </c>
      <c r="L972" s="306" t="s">
        <v>1860</v>
      </c>
      <c r="M972" s="306" t="s">
        <v>59</v>
      </c>
      <c r="N972" s="306" t="s">
        <v>60</v>
      </c>
      <c r="O972" s="308" t="s">
        <v>1910</v>
      </c>
      <c r="P972" s="329" t="s">
        <v>2823</v>
      </c>
      <c r="Q972" s="315">
        <v>5100000</v>
      </c>
      <c r="R972" s="333">
        <v>1</v>
      </c>
      <c r="S972" s="312">
        <v>15300000</v>
      </c>
      <c r="T972" s="306" t="s">
        <v>900</v>
      </c>
      <c r="U972" s="306" t="s">
        <v>1906</v>
      </c>
      <c r="V972" s="313" t="s">
        <v>294</v>
      </c>
      <c r="W972" s="314">
        <v>3</v>
      </c>
      <c r="X972" s="329" t="s">
        <v>2824</v>
      </c>
      <c r="Y972" s="313">
        <v>43164</v>
      </c>
      <c r="Z972" s="315">
        <v>15300000</v>
      </c>
      <c r="AA972" s="316" t="s">
        <v>2351</v>
      </c>
      <c r="AB972" s="317">
        <v>688</v>
      </c>
      <c r="AC972" s="313">
        <v>43165</v>
      </c>
      <c r="AD972" s="312">
        <v>15300000</v>
      </c>
      <c r="AE972" s="318">
        <f t="shared" si="113"/>
        <v>0</v>
      </c>
      <c r="AF972" s="317">
        <v>1596</v>
      </c>
      <c r="AG972" s="313">
        <v>43175</v>
      </c>
      <c r="AH972" s="312">
        <v>15300000</v>
      </c>
      <c r="AI972" s="306"/>
      <c r="AJ972" s="306"/>
      <c r="AK972" s="318">
        <f t="shared" si="110"/>
        <v>0</v>
      </c>
      <c r="AL972" s="312">
        <f t="shared" si="112"/>
        <v>2210000</v>
      </c>
      <c r="AM972" s="312">
        <f t="shared" si="108"/>
        <v>13090000</v>
      </c>
      <c r="AN972" s="306" t="s">
        <v>1863</v>
      </c>
      <c r="AO972" s="312">
        <f t="shared" si="109"/>
        <v>0</v>
      </c>
      <c r="AP972" s="306"/>
      <c r="AQ972" s="313">
        <v>43164</v>
      </c>
      <c r="AR972" s="306" t="s">
        <v>2760</v>
      </c>
      <c r="AS972" s="313">
        <v>43164</v>
      </c>
      <c r="AT972" s="306" t="s">
        <v>2134</v>
      </c>
    </row>
    <row r="973" spans="1:46" ht="165.75" x14ac:dyDescent="0.25">
      <c r="A973" s="306">
        <v>378</v>
      </c>
      <c r="B973" s="306" t="str">
        <f t="shared" si="107"/>
        <v>3075-378</v>
      </c>
      <c r="C973" s="307" t="s">
        <v>1852</v>
      </c>
      <c r="D973" s="308" t="s">
        <v>1853</v>
      </c>
      <c r="E973" s="308" t="s">
        <v>2119</v>
      </c>
      <c r="F973" s="307" t="s">
        <v>1907</v>
      </c>
      <c r="G973" s="327" t="s">
        <v>1908</v>
      </c>
      <c r="H973" s="335" t="s">
        <v>1909</v>
      </c>
      <c r="I973" s="308" t="s">
        <v>1858</v>
      </c>
      <c r="J973" s="308" t="s">
        <v>1859</v>
      </c>
      <c r="K973" s="308">
        <v>801116</v>
      </c>
      <c r="L973" s="306" t="s">
        <v>1860</v>
      </c>
      <c r="M973" s="306" t="s">
        <v>59</v>
      </c>
      <c r="N973" s="306" t="s">
        <v>60</v>
      </c>
      <c r="O973" s="308" t="s">
        <v>1910</v>
      </c>
      <c r="P973" s="329" t="s">
        <v>2825</v>
      </c>
      <c r="Q973" s="315">
        <v>3450000</v>
      </c>
      <c r="R973" s="333">
        <v>1</v>
      </c>
      <c r="S973" s="312">
        <v>10350000</v>
      </c>
      <c r="T973" s="306" t="s">
        <v>900</v>
      </c>
      <c r="U973" s="306" t="s">
        <v>1906</v>
      </c>
      <c r="V973" s="313" t="s">
        <v>294</v>
      </c>
      <c r="W973" s="314">
        <v>3</v>
      </c>
      <c r="X973" s="329" t="s">
        <v>2826</v>
      </c>
      <c r="Y973" s="313">
        <v>43164</v>
      </c>
      <c r="Z973" s="315">
        <v>10350000</v>
      </c>
      <c r="AA973" s="316" t="s">
        <v>2351</v>
      </c>
      <c r="AB973" s="317">
        <v>689</v>
      </c>
      <c r="AC973" s="313">
        <v>43165</v>
      </c>
      <c r="AD973" s="312">
        <v>10350000</v>
      </c>
      <c r="AE973" s="318">
        <f t="shared" si="113"/>
        <v>0</v>
      </c>
      <c r="AF973" s="317">
        <v>1593</v>
      </c>
      <c r="AG973" s="313">
        <v>43175</v>
      </c>
      <c r="AH973" s="312">
        <v>10350000</v>
      </c>
      <c r="AI973" s="306"/>
      <c r="AJ973" s="306"/>
      <c r="AK973" s="318">
        <f t="shared" si="110"/>
        <v>0</v>
      </c>
      <c r="AL973" s="312">
        <f t="shared" si="112"/>
        <v>1495000</v>
      </c>
      <c r="AM973" s="312">
        <f t="shared" si="108"/>
        <v>8855000</v>
      </c>
      <c r="AN973" s="306" t="s">
        <v>1863</v>
      </c>
      <c r="AO973" s="312">
        <f t="shared" si="109"/>
        <v>0</v>
      </c>
      <c r="AP973" s="306"/>
      <c r="AQ973" s="313">
        <v>43164</v>
      </c>
      <c r="AR973" s="306" t="s">
        <v>2760</v>
      </c>
      <c r="AS973" s="313">
        <v>43164</v>
      </c>
      <c r="AT973" s="306" t="s">
        <v>2134</v>
      </c>
    </row>
    <row r="974" spans="1:46" ht="191.25" x14ac:dyDescent="0.25">
      <c r="A974" s="306">
        <v>379</v>
      </c>
      <c r="B974" s="306" t="str">
        <f t="shared" si="107"/>
        <v>3075-379</v>
      </c>
      <c r="C974" s="307" t="s">
        <v>1852</v>
      </c>
      <c r="D974" s="308" t="s">
        <v>1853</v>
      </c>
      <c r="E974" s="308" t="s">
        <v>2119</v>
      </c>
      <c r="F974" s="307" t="s">
        <v>1880</v>
      </c>
      <c r="G974" s="327" t="s">
        <v>1881</v>
      </c>
      <c r="H974" s="310" t="s">
        <v>2120</v>
      </c>
      <c r="I974" s="308" t="s">
        <v>1858</v>
      </c>
      <c r="J974" s="308" t="s">
        <v>1859</v>
      </c>
      <c r="K974" s="308" t="s">
        <v>63</v>
      </c>
      <c r="L974" s="306" t="s">
        <v>1860</v>
      </c>
      <c r="M974" s="306" t="s">
        <v>59</v>
      </c>
      <c r="N974" s="306" t="s">
        <v>60</v>
      </c>
      <c r="O974" s="308" t="s">
        <v>1910</v>
      </c>
      <c r="P974" s="306" t="s">
        <v>2827</v>
      </c>
      <c r="Q974" s="315">
        <v>54686940</v>
      </c>
      <c r="R974" s="333">
        <v>1</v>
      </c>
      <c r="S974" s="312">
        <v>54686940</v>
      </c>
      <c r="T974" s="306"/>
      <c r="U974" s="306" t="s">
        <v>1876</v>
      </c>
      <c r="V974" s="313" t="s">
        <v>302</v>
      </c>
      <c r="W974" s="314" t="s">
        <v>63</v>
      </c>
      <c r="X974" s="329" t="s">
        <v>2828</v>
      </c>
      <c r="Y974" s="313">
        <v>43164</v>
      </c>
      <c r="Z974" s="312">
        <v>54686940</v>
      </c>
      <c r="AA974" s="316" t="s">
        <v>2402</v>
      </c>
      <c r="AB974" s="317">
        <v>703</v>
      </c>
      <c r="AC974" s="313">
        <v>43167</v>
      </c>
      <c r="AD974" s="312">
        <v>54686940</v>
      </c>
      <c r="AE974" s="318">
        <f t="shared" si="113"/>
        <v>0</v>
      </c>
      <c r="AF974" s="317">
        <v>1665</v>
      </c>
      <c r="AG974" s="313">
        <v>43192</v>
      </c>
      <c r="AH974" s="312">
        <v>54686940</v>
      </c>
      <c r="AI974" s="306" t="s">
        <v>2829</v>
      </c>
      <c r="AJ974" s="306">
        <v>1685</v>
      </c>
      <c r="AK974" s="318">
        <f t="shared" si="110"/>
        <v>0</v>
      </c>
      <c r="AL974" s="312">
        <f t="shared" si="112"/>
        <v>0</v>
      </c>
      <c r="AM974" s="312">
        <f t="shared" si="108"/>
        <v>54686940</v>
      </c>
      <c r="AN974" s="306" t="s">
        <v>1863</v>
      </c>
      <c r="AO974" s="312">
        <f t="shared" si="109"/>
        <v>0</v>
      </c>
      <c r="AP974" s="306"/>
      <c r="AQ974" s="313">
        <v>43164</v>
      </c>
      <c r="AR974" s="306" t="s">
        <v>2760</v>
      </c>
      <c r="AS974" s="313">
        <v>43164</v>
      </c>
      <c r="AT974" s="306" t="str">
        <f>P974</f>
        <v>Asignacion del instrumento financiero a las familias ocupantes del predio que hayan superado la fase de verificacion dentro del marco del Decreto 457 de 2017. LOCALIDAD: KENNEDY; BARRIO: VEREDITAS; ID: 2017-8-383670</v>
      </c>
    </row>
    <row r="975" spans="1:46" ht="63.75" x14ac:dyDescent="0.25">
      <c r="A975" s="306">
        <v>380</v>
      </c>
      <c r="B975" s="306" t="str">
        <f t="shared" si="107"/>
        <v>3075-380</v>
      </c>
      <c r="C975" s="307" t="s">
        <v>1852</v>
      </c>
      <c r="D975" s="308" t="s">
        <v>1853</v>
      </c>
      <c r="E975" s="307" t="s">
        <v>1870</v>
      </c>
      <c r="F975" s="307" t="s">
        <v>1871</v>
      </c>
      <c r="G975" s="309" t="s">
        <v>1872</v>
      </c>
      <c r="H975" s="310" t="s">
        <v>1873</v>
      </c>
      <c r="I975" s="308" t="s">
        <v>1858</v>
      </c>
      <c r="J975" s="308" t="s">
        <v>1859</v>
      </c>
      <c r="K975" s="308" t="s">
        <v>63</v>
      </c>
      <c r="L975" s="306" t="s">
        <v>1860</v>
      </c>
      <c r="M975" s="306" t="s">
        <v>59</v>
      </c>
      <c r="N975" s="306" t="s">
        <v>60</v>
      </c>
      <c r="O975" s="308" t="s">
        <v>1874</v>
      </c>
      <c r="P975" s="322" t="s">
        <v>2830</v>
      </c>
      <c r="Q975" s="311">
        <v>14366140</v>
      </c>
      <c r="R975" s="306">
        <v>1</v>
      </c>
      <c r="S975" s="312">
        <v>0</v>
      </c>
      <c r="T975" s="306"/>
      <c r="U975" s="306" t="s">
        <v>1876</v>
      </c>
      <c r="V975" s="313"/>
      <c r="W975" s="314" t="s">
        <v>63</v>
      </c>
      <c r="X975" s="329" t="s">
        <v>2831</v>
      </c>
      <c r="Y975" s="313">
        <v>43166</v>
      </c>
      <c r="Z975" s="315">
        <v>0</v>
      </c>
      <c r="AA975" s="316" t="s">
        <v>2442</v>
      </c>
      <c r="AB975" s="317"/>
      <c r="AC975" s="313"/>
      <c r="AD975" s="312"/>
      <c r="AE975" s="318">
        <f t="shared" si="113"/>
        <v>0</v>
      </c>
      <c r="AF975" s="317"/>
      <c r="AG975" s="313"/>
      <c r="AH975" s="312"/>
      <c r="AI975" s="306"/>
      <c r="AJ975" s="306"/>
      <c r="AK975" s="318">
        <f t="shared" si="110"/>
        <v>0</v>
      </c>
      <c r="AL975" s="312">
        <v>0</v>
      </c>
      <c r="AM975" s="312">
        <f t="shared" si="108"/>
        <v>0</v>
      </c>
      <c r="AN975" s="306" t="s">
        <v>1863</v>
      </c>
      <c r="AO975" s="312">
        <f t="shared" si="109"/>
        <v>0</v>
      </c>
      <c r="AP975" s="306"/>
      <c r="AQ975" s="313">
        <v>43150</v>
      </c>
      <c r="AR975" s="306" t="s">
        <v>2760</v>
      </c>
      <c r="AS975" s="313">
        <v>43166</v>
      </c>
      <c r="AT975" s="306" t="s">
        <v>2832</v>
      </c>
    </row>
    <row r="976" spans="1:46" ht="63.75" x14ac:dyDescent="0.25">
      <c r="A976" s="306">
        <v>381</v>
      </c>
      <c r="B976" s="306" t="str">
        <f t="shared" si="107"/>
        <v>3075-381</v>
      </c>
      <c r="C976" s="307" t="s">
        <v>1852</v>
      </c>
      <c r="D976" s="308" t="s">
        <v>1853</v>
      </c>
      <c r="E976" s="307" t="s">
        <v>1870</v>
      </c>
      <c r="F976" s="307" t="s">
        <v>1871</v>
      </c>
      <c r="G976" s="309" t="s">
        <v>1872</v>
      </c>
      <c r="H976" s="310" t="s">
        <v>1873</v>
      </c>
      <c r="I976" s="308" t="s">
        <v>1858</v>
      </c>
      <c r="J976" s="308" t="s">
        <v>1859</v>
      </c>
      <c r="K976" s="308" t="s">
        <v>63</v>
      </c>
      <c r="L976" s="306" t="s">
        <v>1860</v>
      </c>
      <c r="M976" s="306" t="s">
        <v>59</v>
      </c>
      <c r="N976" s="306" t="s">
        <v>60</v>
      </c>
      <c r="O976" s="308" t="s">
        <v>1874</v>
      </c>
      <c r="P976" s="322" t="s">
        <v>2830</v>
      </c>
      <c r="Q976" s="311">
        <v>21724920</v>
      </c>
      <c r="R976" s="306">
        <v>1</v>
      </c>
      <c r="S976" s="312">
        <v>0</v>
      </c>
      <c r="T976" s="306"/>
      <c r="U976" s="306" t="s">
        <v>1876</v>
      </c>
      <c r="V976" s="313"/>
      <c r="W976" s="314" t="s">
        <v>63</v>
      </c>
      <c r="X976" s="329" t="s">
        <v>2833</v>
      </c>
      <c r="Y976" s="313">
        <v>43166</v>
      </c>
      <c r="Z976" s="315">
        <v>0</v>
      </c>
      <c r="AA976" s="316" t="s">
        <v>2442</v>
      </c>
      <c r="AB976" s="317"/>
      <c r="AC976" s="313"/>
      <c r="AD976" s="312"/>
      <c r="AE976" s="318">
        <f t="shared" si="113"/>
        <v>0</v>
      </c>
      <c r="AF976" s="317"/>
      <c r="AG976" s="313"/>
      <c r="AH976" s="312"/>
      <c r="AI976" s="306"/>
      <c r="AJ976" s="306"/>
      <c r="AK976" s="318">
        <f t="shared" si="110"/>
        <v>0</v>
      </c>
      <c r="AL976" s="312">
        <v>0</v>
      </c>
      <c r="AM976" s="312">
        <f t="shared" si="108"/>
        <v>0</v>
      </c>
      <c r="AN976" s="306" t="s">
        <v>1863</v>
      </c>
      <c r="AO976" s="312">
        <f t="shared" si="109"/>
        <v>0</v>
      </c>
      <c r="AP976" s="306"/>
      <c r="AQ976" s="313">
        <v>43150</v>
      </c>
      <c r="AR976" s="306" t="s">
        <v>2760</v>
      </c>
      <c r="AS976" s="313">
        <v>43166</v>
      </c>
      <c r="AT976" s="306" t="s">
        <v>2832</v>
      </c>
    </row>
    <row r="977" spans="1:46" ht="127.5" x14ac:dyDescent="0.25">
      <c r="A977" s="306">
        <v>382</v>
      </c>
      <c r="B977" s="306" t="str">
        <f t="shared" si="107"/>
        <v>3075-382</v>
      </c>
      <c r="C977" s="307" t="s">
        <v>1852</v>
      </c>
      <c r="D977" s="308" t="s">
        <v>1853</v>
      </c>
      <c r="E977" s="308" t="s">
        <v>2119</v>
      </c>
      <c r="F977" s="307" t="s">
        <v>1880</v>
      </c>
      <c r="G977" s="327" t="s">
        <v>1881</v>
      </c>
      <c r="H977" s="310" t="s">
        <v>2120</v>
      </c>
      <c r="I977" s="308" t="s">
        <v>1858</v>
      </c>
      <c r="J977" s="308" t="s">
        <v>1859</v>
      </c>
      <c r="K977" s="308" t="s">
        <v>63</v>
      </c>
      <c r="L977" s="306" t="s">
        <v>1860</v>
      </c>
      <c r="M977" s="306" t="s">
        <v>59</v>
      </c>
      <c r="N977" s="306" t="s">
        <v>60</v>
      </c>
      <c r="O977" s="308" t="s">
        <v>1910</v>
      </c>
      <c r="P977" s="306" t="s">
        <v>2834</v>
      </c>
      <c r="Q977" s="315">
        <v>54686940</v>
      </c>
      <c r="R977" s="333">
        <v>1</v>
      </c>
      <c r="S977" s="312">
        <v>54686940</v>
      </c>
      <c r="T977" s="306"/>
      <c r="U977" s="306" t="s">
        <v>1876</v>
      </c>
      <c r="V977" s="313" t="s">
        <v>302</v>
      </c>
      <c r="W977" s="314" t="s">
        <v>63</v>
      </c>
      <c r="X977" s="329" t="s">
        <v>2835</v>
      </c>
      <c r="Y977" s="313">
        <v>43166</v>
      </c>
      <c r="Z977" s="315">
        <v>54686940</v>
      </c>
      <c r="AA977" s="316" t="s">
        <v>2402</v>
      </c>
      <c r="AB977" s="317">
        <v>714</v>
      </c>
      <c r="AC977" s="313">
        <v>43173</v>
      </c>
      <c r="AD977" s="312">
        <v>54686940</v>
      </c>
      <c r="AE977" s="318">
        <f t="shared" si="113"/>
        <v>0</v>
      </c>
      <c r="AF977" s="317">
        <v>1819</v>
      </c>
      <c r="AG977" s="313">
        <v>43209</v>
      </c>
      <c r="AH977" s="312">
        <v>54686940</v>
      </c>
      <c r="AI977" s="306" t="s">
        <v>2836</v>
      </c>
      <c r="AJ977" s="306">
        <v>1871</v>
      </c>
      <c r="AK977" s="318">
        <f t="shared" si="110"/>
        <v>0</v>
      </c>
      <c r="AL977" s="312">
        <f>VLOOKUP(AB977,RP,13,FALSE)</f>
        <v>0</v>
      </c>
      <c r="AM977" s="312">
        <f t="shared" si="108"/>
        <v>54686940</v>
      </c>
      <c r="AN977" s="306" t="s">
        <v>1863</v>
      </c>
      <c r="AO977" s="312">
        <f t="shared" si="109"/>
        <v>0</v>
      </c>
      <c r="AP977" s="306"/>
      <c r="AQ977" s="313">
        <v>43166</v>
      </c>
      <c r="AR977" s="306" t="s">
        <v>2760</v>
      </c>
      <c r="AS977" s="313">
        <v>43166</v>
      </c>
      <c r="AT977" s="306" t="s">
        <v>2837</v>
      </c>
    </row>
    <row r="978" spans="1:46" ht="153" x14ac:dyDescent="0.25">
      <c r="A978" s="306">
        <v>383</v>
      </c>
      <c r="B978" s="306" t="str">
        <f t="shared" si="107"/>
        <v>3075-383</v>
      </c>
      <c r="C978" s="307" t="s">
        <v>1852</v>
      </c>
      <c r="D978" s="308" t="s">
        <v>1853</v>
      </c>
      <c r="E978" s="308" t="s">
        <v>2119</v>
      </c>
      <c r="F978" s="307" t="s">
        <v>1907</v>
      </c>
      <c r="G978" s="327" t="s">
        <v>1908</v>
      </c>
      <c r="H978" s="335" t="s">
        <v>1909</v>
      </c>
      <c r="I978" s="308" t="s">
        <v>1858</v>
      </c>
      <c r="J978" s="308" t="s">
        <v>1859</v>
      </c>
      <c r="K978" s="308">
        <v>801116</v>
      </c>
      <c r="L978" s="306" t="s">
        <v>1860</v>
      </c>
      <c r="M978" s="306" t="s">
        <v>59</v>
      </c>
      <c r="N978" s="306" t="s">
        <v>60</v>
      </c>
      <c r="O978" s="308" t="s">
        <v>1910</v>
      </c>
      <c r="P978" s="329" t="s">
        <v>2838</v>
      </c>
      <c r="Q978" s="315">
        <v>5100000</v>
      </c>
      <c r="R978" s="333">
        <v>1</v>
      </c>
      <c r="S978" s="312">
        <v>15300000</v>
      </c>
      <c r="T978" s="306" t="s">
        <v>900</v>
      </c>
      <c r="U978" s="306" t="s">
        <v>1906</v>
      </c>
      <c r="V978" s="313" t="s">
        <v>294</v>
      </c>
      <c r="W978" s="314">
        <v>3</v>
      </c>
      <c r="X978" s="329" t="s">
        <v>2839</v>
      </c>
      <c r="Y978" s="313">
        <v>43167</v>
      </c>
      <c r="Z978" s="315">
        <v>15300000</v>
      </c>
      <c r="AA978" s="316" t="s">
        <v>2356</v>
      </c>
      <c r="AB978" s="317">
        <v>708</v>
      </c>
      <c r="AC978" s="313">
        <v>43168</v>
      </c>
      <c r="AD978" s="312">
        <v>15300000</v>
      </c>
      <c r="AE978" s="318">
        <f t="shared" si="113"/>
        <v>0</v>
      </c>
      <c r="AF978" s="317">
        <v>1556</v>
      </c>
      <c r="AG978" s="313">
        <v>43172</v>
      </c>
      <c r="AH978" s="312">
        <v>15300000</v>
      </c>
      <c r="AI978" s="306"/>
      <c r="AJ978" s="306"/>
      <c r="AK978" s="318">
        <f t="shared" si="110"/>
        <v>0</v>
      </c>
      <c r="AL978" s="312">
        <f>VLOOKUP(AB978,RP,13,FALSE)</f>
        <v>2890000</v>
      </c>
      <c r="AM978" s="312">
        <f t="shared" si="108"/>
        <v>12410000</v>
      </c>
      <c r="AN978" s="306" t="s">
        <v>1863</v>
      </c>
      <c r="AO978" s="312">
        <f t="shared" si="109"/>
        <v>0</v>
      </c>
      <c r="AP978" s="306"/>
      <c r="AQ978" s="313">
        <v>43167</v>
      </c>
      <c r="AR978" s="306" t="s">
        <v>2760</v>
      </c>
      <c r="AS978" s="313">
        <v>43167</v>
      </c>
      <c r="AT978" s="306" t="s">
        <v>2134</v>
      </c>
    </row>
    <row r="979" spans="1:46" ht="165.75" x14ac:dyDescent="0.25">
      <c r="A979" s="306">
        <v>384</v>
      </c>
      <c r="B979" s="306" t="str">
        <f t="shared" si="107"/>
        <v>3075-384</v>
      </c>
      <c r="C979" s="307" t="s">
        <v>1852</v>
      </c>
      <c r="D979" s="308" t="s">
        <v>1853</v>
      </c>
      <c r="E979" s="308" t="s">
        <v>2119</v>
      </c>
      <c r="F979" s="307" t="s">
        <v>1907</v>
      </c>
      <c r="G979" s="327" t="s">
        <v>1908</v>
      </c>
      <c r="H979" s="335" t="s">
        <v>1909</v>
      </c>
      <c r="I979" s="308" t="s">
        <v>1858</v>
      </c>
      <c r="J979" s="308" t="s">
        <v>1859</v>
      </c>
      <c r="K979" s="308">
        <v>801116</v>
      </c>
      <c r="L979" s="306" t="s">
        <v>1860</v>
      </c>
      <c r="M979" s="306" t="s">
        <v>59</v>
      </c>
      <c r="N979" s="306" t="s">
        <v>60</v>
      </c>
      <c r="O979" s="308" t="s">
        <v>1910</v>
      </c>
      <c r="P979" s="329" t="s">
        <v>2840</v>
      </c>
      <c r="Q979" s="315">
        <v>4000000</v>
      </c>
      <c r="R979" s="333">
        <v>1</v>
      </c>
      <c r="S979" s="312">
        <v>12000000</v>
      </c>
      <c r="T979" s="306" t="s">
        <v>900</v>
      </c>
      <c r="U979" s="306" t="s">
        <v>1906</v>
      </c>
      <c r="V979" s="313" t="s">
        <v>294</v>
      </c>
      <c r="W979" s="314">
        <v>3</v>
      </c>
      <c r="X979" s="329" t="s">
        <v>2841</v>
      </c>
      <c r="Y979" s="313">
        <v>43167</v>
      </c>
      <c r="Z979" s="315">
        <v>12000000</v>
      </c>
      <c r="AA979" s="316" t="s">
        <v>2356</v>
      </c>
      <c r="AB979" s="317">
        <v>709</v>
      </c>
      <c r="AC979" s="313">
        <v>43168</v>
      </c>
      <c r="AD979" s="312">
        <v>12000000</v>
      </c>
      <c r="AE979" s="318">
        <f t="shared" si="113"/>
        <v>0</v>
      </c>
      <c r="AF979" s="317">
        <v>1595</v>
      </c>
      <c r="AG979" s="313">
        <v>43175</v>
      </c>
      <c r="AH979" s="312">
        <v>12000000</v>
      </c>
      <c r="AI979" s="306"/>
      <c r="AJ979" s="306"/>
      <c r="AK979" s="318">
        <f t="shared" si="110"/>
        <v>0</v>
      </c>
      <c r="AL979" s="312">
        <f>VLOOKUP(AB979,RP,13,FALSE)</f>
        <v>1733333</v>
      </c>
      <c r="AM979" s="312">
        <f t="shared" si="108"/>
        <v>10266667</v>
      </c>
      <c r="AN979" s="306" t="s">
        <v>1863</v>
      </c>
      <c r="AO979" s="312">
        <f t="shared" si="109"/>
        <v>0</v>
      </c>
      <c r="AP979" s="306"/>
      <c r="AQ979" s="313">
        <v>43167</v>
      </c>
      <c r="AR979" s="306" t="s">
        <v>2760</v>
      </c>
      <c r="AS979" s="313">
        <v>43167</v>
      </c>
      <c r="AT979" s="306" t="s">
        <v>2134</v>
      </c>
    </row>
    <row r="980" spans="1:46" ht="165.75" x14ac:dyDescent="0.25">
      <c r="A980" s="306">
        <v>385</v>
      </c>
      <c r="B980" s="306" t="str">
        <f t="shared" ref="B980:B1041" si="114">CONCATENATE("3075","-",A980)</f>
        <v>3075-385</v>
      </c>
      <c r="C980" s="307" t="s">
        <v>1852</v>
      </c>
      <c r="D980" s="308" t="s">
        <v>1853</v>
      </c>
      <c r="E980" s="308" t="s">
        <v>2119</v>
      </c>
      <c r="F980" s="307" t="s">
        <v>1907</v>
      </c>
      <c r="G980" s="327" t="s">
        <v>1908</v>
      </c>
      <c r="H980" s="335" t="s">
        <v>1909</v>
      </c>
      <c r="I980" s="308" t="s">
        <v>1858</v>
      </c>
      <c r="J980" s="308" t="s">
        <v>1859</v>
      </c>
      <c r="K980" s="308">
        <v>801116</v>
      </c>
      <c r="L980" s="306" t="s">
        <v>1860</v>
      </c>
      <c r="M980" s="306" t="s">
        <v>59</v>
      </c>
      <c r="N980" s="306" t="s">
        <v>60</v>
      </c>
      <c r="O980" s="308" t="s">
        <v>1910</v>
      </c>
      <c r="P980" s="329" t="s">
        <v>2842</v>
      </c>
      <c r="Q980" s="315">
        <v>5100000</v>
      </c>
      <c r="R980" s="333">
        <v>1</v>
      </c>
      <c r="S980" s="312">
        <v>15300000</v>
      </c>
      <c r="T980" s="306" t="s">
        <v>900</v>
      </c>
      <c r="U980" s="306" t="s">
        <v>1906</v>
      </c>
      <c r="V980" s="313" t="s">
        <v>294</v>
      </c>
      <c r="W980" s="314">
        <v>3</v>
      </c>
      <c r="X980" s="329" t="s">
        <v>2843</v>
      </c>
      <c r="Y980" s="313">
        <v>43167</v>
      </c>
      <c r="Z980" s="315">
        <v>15300000</v>
      </c>
      <c r="AA980" s="316" t="s">
        <v>2356</v>
      </c>
      <c r="AB980" s="317">
        <v>710</v>
      </c>
      <c r="AC980" s="313">
        <v>43168</v>
      </c>
      <c r="AD980" s="312">
        <v>15300000</v>
      </c>
      <c r="AE980" s="318">
        <f t="shared" si="113"/>
        <v>0</v>
      </c>
      <c r="AF980" s="317">
        <v>1592</v>
      </c>
      <c r="AG980" s="313">
        <v>43175</v>
      </c>
      <c r="AH980" s="312">
        <v>15300000</v>
      </c>
      <c r="AI980" s="306"/>
      <c r="AJ980" s="306"/>
      <c r="AK980" s="318">
        <f t="shared" si="110"/>
        <v>0</v>
      </c>
      <c r="AL980" s="312">
        <f>VLOOKUP(AB980,RP,13,FALSE)</f>
        <v>2210000</v>
      </c>
      <c r="AM980" s="312">
        <f t="shared" ref="AM980:AM1011" si="115">AH980-AL980</f>
        <v>13090000</v>
      </c>
      <c r="AN980" s="306" t="s">
        <v>1863</v>
      </c>
      <c r="AO980" s="312">
        <f t="shared" ref="AO980:AO1041" si="116">S980-AH980</f>
        <v>0</v>
      </c>
      <c r="AP980" s="306"/>
      <c r="AQ980" s="313">
        <v>43167</v>
      </c>
      <c r="AR980" s="306" t="s">
        <v>2760</v>
      </c>
      <c r="AS980" s="313">
        <v>43167</v>
      </c>
      <c r="AT980" s="306" t="s">
        <v>2134</v>
      </c>
    </row>
    <row r="981" spans="1:46" ht="165.75" x14ac:dyDescent="0.25">
      <c r="A981" s="306">
        <v>386</v>
      </c>
      <c r="B981" s="306" t="str">
        <f t="shared" si="114"/>
        <v>3075-386</v>
      </c>
      <c r="C981" s="307" t="s">
        <v>1852</v>
      </c>
      <c r="D981" s="308" t="s">
        <v>1853</v>
      </c>
      <c r="E981" s="308" t="s">
        <v>2119</v>
      </c>
      <c r="F981" s="307" t="s">
        <v>1907</v>
      </c>
      <c r="G981" s="327" t="s">
        <v>1908</v>
      </c>
      <c r="H981" s="335" t="s">
        <v>1909</v>
      </c>
      <c r="I981" s="308" t="s">
        <v>1858</v>
      </c>
      <c r="J981" s="308" t="s">
        <v>1859</v>
      </c>
      <c r="K981" s="308">
        <v>801116</v>
      </c>
      <c r="L981" s="306" t="s">
        <v>1860</v>
      </c>
      <c r="M981" s="306" t="s">
        <v>59</v>
      </c>
      <c r="N981" s="306" t="s">
        <v>60</v>
      </c>
      <c r="O981" s="308" t="s">
        <v>1910</v>
      </c>
      <c r="P981" s="329" t="s">
        <v>2844</v>
      </c>
      <c r="Q981" s="315">
        <v>3450000</v>
      </c>
      <c r="R981" s="333">
        <v>1</v>
      </c>
      <c r="S981" s="312">
        <v>10350000</v>
      </c>
      <c r="T981" s="306" t="s">
        <v>900</v>
      </c>
      <c r="U981" s="306" t="s">
        <v>1906</v>
      </c>
      <c r="V981" s="313" t="s">
        <v>294</v>
      </c>
      <c r="W981" s="314">
        <v>3</v>
      </c>
      <c r="X981" s="329" t="s">
        <v>2845</v>
      </c>
      <c r="Y981" s="313">
        <v>43167</v>
      </c>
      <c r="Z981" s="315">
        <v>10350000</v>
      </c>
      <c r="AA981" s="316" t="s">
        <v>2356</v>
      </c>
      <c r="AB981" s="317">
        <v>712</v>
      </c>
      <c r="AC981" s="313">
        <v>43168</v>
      </c>
      <c r="AD981" s="312">
        <v>10350000</v>
      </c>
      <c r="AE981" s="318">
        <f t="shared" si="113"/>
        <v>0</v>
      </c>
      <c r="AF981" s="317">
        <v>1598</v>
      </c>
      <c r="AG981" s="313">
        <v>43175</v>
      </c>
      <c r="AH981" s="312">
        <v>10350000</v>
      </c>
      <c r="AI981" s="306"/>
      <c r="AJ981" s="306"/>
      <c r="AK981" s="318">
        <f t="shared" ref="AK981:AK1011" si="117">AD981-AH981</f>
        <v>0</v>
      </c>
      <c r="AL981" s="312">
        <f>VLOOKUP(AB981,RP,13,FALSE)</f>
        <v>1150000</v>
      </c>
      <c r="AM981" s="312">
        <f t="shared" si="115"/>
        <v>9200000</v>
      </c>
      <c r="AN981" s="306" t="s">
        <v>1863</v>
      </c>
      <c r="AO981" s="312">
        <f t="shared" si="116"/>
        <v>0</v>
      </c>
      <c r="AP981" s="306"/>
      <c r="AQ981" s="313">
        <v>43167</v>
      </c>
      <c r="AR981" s="306" t="s">
        <v>2760</v>
      </c>
      <c r="AS981" s="313">
        <v>43167</v>
      </c>
      <c r="AT981" s="306" t="s">
        <v>2134</v>
      </c>
    </row>
    <row r="982" spans="1:46" ht="191.25" x14ac:dyDescent="0.25">
      <c r="A982" s="306">
        <v>387</v>
      </c>
      <c r="B982" s="306" t="str">
        <f t="shared" si="114"/>
        <v>3075-387</v>
      </c>
      <c r="C982" s="307" t="s">
        <v>1852</v>
      </c>
      <c r="D982" s="308" t="s">
        <v>1853</v>
      </c>
      <c r="E982" s="308" t="s">
        <v>2119</v>
      </c>
      <c r="F982" s="307" t="s">
        <v>1880</v>
      </c>
      <c r="G982" s="327" t="s">
        <v>1881</v>
      </c>
      <c r="H982" s="310" t="s">
        <v>2120</v>
      </c>
      <c r="I982" s="308" t="s">
        <v>1858</v>
      </c>
      <c r="J982" s="308" t="s">
        <v>1859</v>
      </c>
      <c r="K982" s="308" t="s">
        <v>63</v>
      </c>
      <c r="L982" s="306" t="s">
        <v>1860</v>
      </c>
      <c r="M982" s="306" t="s">
        <v>59</v>
      </c>
      <c r="N982" s="306" t="s">
        <v>60</v>
      </c>
      <c r="O982" s="308" t="s">
        <v>1910</v>
      </c>
      <c r="P982" s="306" t="s">
        <v>2846</v>
      </c>
      <c r="Q982" s="315">
        <v>54686940</v>
      </c>
      <c r="R982" s="333">
        <v>1</v>
      </c>
      <c r="S982" s="312">
        <v>54686940</v>
      </c>
      <c r="T982" s="306"/>
      <c r="U982" s="306" t="s">
        <v>1876</v>
      </c>
      <c r="V982" s="320" t="s">
        <v>302</v>
      </c>
      <c r="W982" s="314" t="s">
        <v>63</v>
      </c>
      <c r="X982" s="334" t="s">
        <v>2847</v>
      </c>
      <c r="Y982" s="313">
        <v>43173</v>
      </c>
      <c r="Z982" s="315">
        <v>54686940</v>
      </c>
      <c r="AA982" s="316" t="s">
        <v>2402</v>
      </c>
      <c r="AB982" s="317">
        <v>727</v>
      </c>
      <c r="AC982" s="313">
        <v>43175</v>
      </c>
      <c r="AD982" s="312">
        <v>54686940</v>
      </c>
      <c r="AE982" s="318">
        <f t="shared" si="113"/>
        <v>0</v>
      </c>
      <c r="AF982" s="317"/>
      <c r="AG982" s="313"/>
      <c r="AH982" s="312"/>
      <c r="AI982" s="306"/>
      <c r="AJ982" s="306"/>
      <c r="AK982" s="318">
        <f t="shared" si="117"/>
        <v>54686940</v>
      </c>
      <c r="AL982" s="312">
        <v>0</v>
      </c>
      <c r="AM982" s="312">
        <f t="shared" si="115"/>
        <v>0</v>
      </c>
      <c r="AN982" s="306" t="s">
        <v>1863</v>
      </c>
      <c r="AO982" s="312">
        <f t="shared" si="116"/>
        <v>54686940</v>
      </c>
      <c r="AP982" s="306"/>
      <c r="AQ982" s="313">
        <v>43172</v>
      </c>
      <c r="AR982" s="306" t="s">
        <v>2760</v>
      </c>
      <c r="AS982" s="313">
        <v>43173</v>
      </c>
      <c r="AT982" s="306" t="s">
        <v>2846</v>
      </c>
    </row>
    <row r="983" spans="1:46" ht="191.25" x14ac:dyDescent="0.25">
      <c r="A983" s="306">
        <v>388</v>
      </c>
      <c r="B983" s="306" t="str">
        <f t="shared" si="114"/>
        <v>3075-388</v>
      </c>
      <c r="C983" s="307" t="s">
        <v>1852</v>
      </c>
      <c r="D983" s="308" t="s">
        <v>1853</v>
      </c>
      <c r="E983" s="308" t="s">
        <v>2119</v>
      </c>
      <c r="F983" s="307" t="s">
        <v>1880</v>
      </c>
      <c r="G983" s="327" t="s">
        <v>1881</v>
      </c>
      <c r="H983" s="310" t="s">
        <v>2120</v>
      </c>
      <c r="I983" s="308" t="s">
        <v>1858</v>
      </c>
      <c r="J983" s="308" t="s">
        <v>1859</v>
      </c>
      <c r="K983" s="308" t="s">
        <v>63</v>
      </c>
      <c r="L983" s="306" t="s">
        <v>1860</v>
      </c>
      <c r="M983" s="306" t="s">
        <v>59</v>
      </c>
      <c r="N983" s="306" t="s">
        <v>60</v>
      </c>
      <c r="O983" s="308" t="s">
        <v>1910</v>
      </c>
      <c r="P983" s="306" t="s">
        <v>2848</v>
      </c>
      <c r="Q983" s="315">
        <v>54686940</v>
      </c>
      <c r="R983" s="333">
        <v>1</v>
      </c>
      <c r="S983" s="312">
        <v>54686940</v>
      </c>
      <c r="T983" s="306"/>
      <c r="U983" s="306" t="s">
        <v>1876</v>
      </c>
      <c r="V983" s="313" t="s">
        <v>302</v>
      </c>
      <c r="W983" s="314" t="s">
        <v>63</v>
      </c>
      <c r="X983" s="334" t="s">
        <v>2849</v>
      </c>
      <c r="Y983" s="313">
        <v>43173</v>
      </c>
      <c r="Z983" s="315">
        <v>54686940</v>
      </c>
      <c r="AA983" s="316" t="s">
        <v>2402</v>
      </c>
      <c r="AB983" s="317">
        <v>726</v>
      </c>
      <c r="AC983" s="313">
        <v>43175</v>
      </c>
      <c r="AD983" s="312">
        <v>54686940</v>
      </c>
      <c r="AE983" s="318">
        <f t="shared" si="113"/>
        <v>0</v>
      </c>
      <c r="AF983" s="317">
        <v>1790</v>
      </c>
      <c r="AG983" s="313">
        <v>43202</v>
      </c>
      <c r="AH983" s="312">
        <v>54686940</v>
      </c>
      <c r="AI983" s="306" t="s">
        <v>2850</v>
      </c>
      <c r="AJ983" s="306">
        <v>1842</v>
      </c>
      <c r="AK983" s="318">
        <f t="shared" si="117"/>
        <v>0</v>
      </c>
      <c r="AL983" s="312">
        <f>VLOOKUP(AB983,RP,13,FALSE)</f>
        <v>0</v>
      </c>
      <c r="AM983" s="312">
        <f t="shared" si="115"/>
        <v>54686940</v>
      </c>
      <c r="AN983" s="306" t="s">
        <v>1863</v>
      </c>
      <c r="AO983" s="312">
        <f t="shared" si="116"/>
        <v>0</v>
      </c>
      <c r="AP983" s="306"/>
      <c r="AQ983" s="313">
        <v>43172</v>
      </c>
      <c r="AR983" s="306" t="s">
        <v>2760</v>
      </c>
      <c r="AS983" s="313">
        <v>43173</v>
      </c>
      <c r="AT983" s="306" t="s">
        <v>2848</v>
      </c>
    </row>
    <row r="984" spans="1:46" ht="191.25" x14ac:dyDescent="0.25">
      <c r="A984" s="306">
        <v>389</v>
      </c>
      <c r="B984" s="306" t="str">
        <f t="shared" si="114"/>
        <v>3075-389</v>
      </c>
      <c r="C984" s="307" t="s">
        <v>1852</v>
      </c>
      <c r="D984" s="308" t="s">
        <v>1853</v>
      </c>
      <c r="E984" s="308" t="s">
        <v>2119</v>
      </c>
      <c r="F984" s="307" t="s">
        <v>1880</v>
      </c>
      <c r="G984" s="327" t="s">
        <v>1881</v>
      </c>
      <c r="H984" s="310" t="s">
        <v>2120</v>
      </c>
      <c r="I984" s="308" t="s">
        <v>1858</v>
      </c>
      <c r="J984" s="308" t="s">
        <v>1859</v>
      </c>
      <c r="K984" s="308" t="s">
        <v>63</v>
      </c>
      <c r="L984" s="306" t="s">
        <v>1860</v>
      </c>
      <c r="M984" s="306" t="s">
        <v>59</v>
      </c>
      <c r="N984" s="306" t="s">
        <v>60</v>
      </c>
      <c r="O984" s="308" t="s">
        <v>1910</v>
      </c>
      <c r="P984" s="306" t="s">
        <v>2851</v>
      </c>
      <c r="Q984" s="315">
        <v>54686940</v>
      </c>
      <c r="R984" s="333">
        <v>1</v>
      </c>
      <c r="S984" s="312">
        <v>54686940</v>
      </c>
      <c r="T984" s="306"/>
      <c r="U984" s="306" t="s">
        <v>1876</v>
      </c>
      <c r="V984" s="313" t="s">
        <v>302</v>
      </c>
      <c r="W984" s="314" t="s">
        <v>63</v>
      </c>
      <c r="X984" s="334" t="s">
        <v>2852</v>
      </c>
      <c r="Y984" s="313">
        <v>43173</v>
      </c>
      <c r="Z984" s="315">
        <v>54686940</v>
      </c>
      <c r="AA984" s="316" t="s">
        <v>2402</v>
      </c>
      <c r="AB984" s="317">
        <v>725</v>
      </c>
      <c r="AC984" s="313">
        <v>43175</v>
      </c>
      <c r="AD984" s="312">
        <v>54686940</v>
      </c>
      <c r="AE984" s="318">
        <f t="shared" si="113"/>
        <v>0</v>
      </c>
      <c r="AF984" s="317">
        <v>1808</v>
      </c>
      <c r="AG984" s="313">
        <v>43207</v>
      </c>
      <c r="AH984" s="312">
        <v>54686940</v>
      </c>
      <c r="AI984" s="306" t="s">
        <v>2853</v>
      </c>
      <c r="AJ984" s="306">
        <v>1864</v>
      </c>
      <c r="AK984" s="318">
        <f t="shared" si="117"/>
        <v>0</v>
      </c>
      <c r="AL984" s="312">
        <f>VLOOKUP(AB984,RP,13,FALSE)</f>
        <v>0</v>
      </c>
      <c r="AM984" s="312">
        <f t="shared" si="115"/>
        <v>54686940</v>
      </c>
      <c r="AN984" s="306" t="s">
        <v>1863</v>
      </c>
      <c r="AO984" s="312">
        <f t="shared" si="116"/>
        <v>0</v>
      </c>
      <c r="AP984" s="306"/>
      <c r="AQ984" s="313">
        <v>43172</v>
      </c>
      <c r="AR984" s="306" t="s">
        <v>2760</v>
      </c>
      <c r="AS984" s="313">
        <v>43173</v>
      </c>
      <c r="AT984" s="306" t="s">
        <v>2851</v>
      </c>
    </row>
    <row r="985" spans="1:46" ht="191.25" x14ac:dyDescent="0.25">
      <c r="A985" s="306">
        <v>390</v>
      </c>
      <c r="B985" s="306" t="str">
        <f t="shared" si="114"/>
        <v>3075-390</v>
      </c>
      <c r="C985" s="307" t="s">
        <v>1852</v>
      </c>
      <c r="D985" s="308" t="s">
        <v>1853</v>
      </c>
      <c r="E985" s="308" t="s">
        <v>2119</v>
      </c>
      <c r="F985" s="307" t="s">
        <v>1880</v>
      </c>
      <c r="G985" s="327" t="s">
        <v>1881</v>
      </c>
      <c r="H985" s="310" t="s">
        <v>2120</v>
      </c>
      <c r="I985" s="308" t="s">
        <v>1858</v>
      </c>
      <c r="J985" s="308" t="s">
        <v>1859</v>
      </c>
      <c r="K985" s="308" t="s">
        <v>63</v>
      </c>
      <c r="L985" s="306" t="s">
        <v>1860</v>
      </c>
      <c r="M985" s="306" t="s">
        <v>59</v>
      </c>
      <c r="N985" s="306" t="s">
        <v>60</v>
      </c>
      <c r="O985" s="308" t="s">
        <v>1910</v>
      </c>
      <c r="P985" s="306" t="s">
        <v>2854</v>
      </c>
      <c r="Q985" s="315">
        <v>54686940</v>
      </c>
      <c r="R985" s="333">
        <v>1</v>
      </c>
      <c r="S985" s="312">
        <v>54686940</v>
      </c>
      <c r="T985" s="306"/>
      <c r="U985" s="306" t="s">
        <v>1876</v>
      </c>
      <c r="V985" s="313" t="s">
        <v>302</v>
      </c>
      <c r="W985" s="314" t="s">
        <v>63</v>
      </c>
      <c r="X985" s="334" t="s">
        <v>2855</v>
      </c>
      <c r="Y985" s="313">
        <v>43173</v>
      </c>
      <c r="Z985" s="315">
        <v>54686940</v>
      </c>
      <c r="AA985" s="316" t="s">
        <v>2402</v>
      </c>
      <c r="AB985" s="317">
        <v>724</v>
      </c>
      <c r="AC985" s="313">
        <v>43175</v>
      </c>
      <c r="AD985" s="312">
        <v>54686940</v>
      </c>
      <c r="AE985" s="318">
        <f t="shared" si="113"/>
        <v>0</v>
      </c>
      <c r="AF985" s="317">
        <v>1824</v>
      </c>
      <c r="AG985" s="313">
        <v>43210</v>
      </c>
      <c r="AH985" s="312">
        <v>54686940</v>
      </c>
      <c r="AI985" s="306" t="s">
        <v>2856</v>
      </c>
      <c r="AJ985" s="306">
        <v>1878</v>
      </c>
      <c r="AK985" s="318">
        <f t="shared" si="117"/>
        <v>0</v>
      </c>
      <c r="AL985" s="312">
        <f>VLOOKUP(AB985,RP,13,FALSE)</f>
        <v>0</v>
      </c>
      <c r="AM985" s="312">
        <f t="shared" si="115"/>
        <v>54686940</v>
      </c>
      <c r="AN985" s="306" t="s">
        <v>1863</v>
      </c>
      <c r="AO985" s="312">
        <f t="shared" si="116"/>
        <v>0</v>
      </c>
      <c r="AP985" s="306"/>
      <c r="AQ985" s="313">
        <v>43172</v>
      </c>
      <c r="AR985" s="306" t="s">
        <v>2760</v>
      </c>
      <c r="AS985" s="313">
        <v>43173</v>
      </c>
      <c r="AT985" s="306" t="s">
        <v>2854</v>
      </c>
    </row>
    <row r="986" spans="1:46" ht="191.25" x14ac:dyDescent="0.25">
      <c r="A986" s="306">
        <v>391</v>
      </c>
      <c r="B986" s="306" t="str">
        <f t="shared" si="114"/>
        <v>3075-391</v>
      </c>
      <c r="C986" s="307" t="s">
        <v>1852</v>
      </c>
      <c r="D986" s="308" t="s">
        <v>1853</v>
      </c>
      <c r="E986" s="308" t="s">
        <v>2119</v>
      </c>
      <c r="F986" s="307" t="s">
        <v>1880</v>
      </c>
      <c r="G986" s="327" t="s">
        <v>1881</v>
      </c>
      <c r="H986" s="310" t="s">
        <v>2120</v>
      </c>
      <c r="I986" s="308" t="s">
        <v>1858</v>
      </c>
      <c r="J986" s="308" t="s">
        <v>1859</v>
      </c>
      <c r="K986" s="308" t="s">
        <v>63</v>
      </c>
      <c r="L986" s="306" t="s">
        <v>1860</v>
      </c>
      <c r="M986" s="306" t="s">
        <v>59</v>
      </c>
      <c r="N986" s="306" t="s">
        <v>60</v>
      </c>
      <c r="O986" s="308" t="s">
        <v>1910</v>
      </c>
      <c r="P986" s="306" t="s">
        <v>2857</v>
      </c>
      <c r="Q986" s="315">
        <v>54686940</v>
      </c>
      <c r="R986" s="333">
        <v>1</v>
      </c>
      <c r="S986" s="312">
        <v>54686940</v>
      </c>
      <c r="T986" s="306"/>
      <c r="U986" s="306" t="s">
        <v>1876</v>
      </c>
      <c r="V986" s="313" t="s">
        <v>302</v>
      </c>
      <c r="W986" s="314" t="s">
        <v>63</v>
      </c>
      <c r="X986" s="334" t="s">
        <v>2858</v>
      </c>
      <c r="Y986" s="313">
        <v>43173</v>
      </c>
      <c r="Z986" s="315">
        <v>54686940</v>
      </c>
      <c r="AA986" s="316" t="s">
        <v>2402</v>
      </c>
      <c r="AB986" s="317">
        <v>723</v>
      </c>
      <c r="AC986" s="313">
        <v>43175</v>
      </c>
      <c r="AD986" s="312">
        <v>54686940</v>
      </c>
      <c r="AE986" s="318">
        <f t="shared" si="113"/>
        <v>0</v>
      </c>
      <c r="AF986" s="317">
        <v>1817</v>
      </c>
      <c r="AG986" s="313">
        <v>43209</v>
      </c>
      <c r="AH986" s="312">
        <v>54686940</v>
      </c>
      <c r="AI986" s="306" t="s">
        <v>2859</v>
      </c>
      <c r="AJ986" s="306">
        <v>1873</v>
      </c>
      <c r="AK986" s="318">
        <f t="shared" si="117"/>
        <v>0</v>
      </c>
      <c r="AL986" s="312">
        <f>VLOOKUP(AB986,RP,13,FALSE)</f>
        <v>0</v>
      </c>
      <c r="AM986" s="312">
        <f t="shared" si="115"/>
        <v>54686940</v>
      </c>
      <c r="AN986" s="306" t="s">
        <v>1863</v>
      </c>
      <c r="AO986" s="312">
        <f t="shared" si="116"/>
        <v>0</v>
      </c>
      <c r="AP986" s="306"/>
      <c r="AQ986" s="313">
        <v>43172</v>
      </c>
      <c r="AR986" s="306" t="s">
        <v>2760</v>
      </c>
      <c r="AS986" s="313">
        <v>43173</v>
      </c>
      <c r="AT986" s="306" t="s">
        <v>2857</v>
      </c>
    </row>
    <row r="987" spans="1:46" ht="191.25" x14ac:dyDescent="0.25">
      <c r="A987" s="306">
        <v>392</v>
      </c>
      <c r="B987" s="306" t="str">
        <f t="shared" si="114"/>
        <v>3075-392</v>
      </c>
      <c r="C987" s="307" t="s">
        <v>1852</v>
      </c>
      <c r="D987" s="308" t="s">
        <v>1853</v>
      </c>
      <c r="E987" s="308" t="s">
        <v>2119</v>
      </c>
      <c r="F987" s="307" t="s">
        <v>1880</v>
      </c>
      <c r="G987" s="327" t="s">
        <v>1881</v>
      </c>
      <c r="H987" s="310" t="s">
        <v>2120</v>
      </c>
      <c r="I987" s="308" t="s">
        <v>1858</v>
      </c>
      <c r="J987" s="308" t="s">
        <v>1859</v>
      </c>
      <c r="K987" s="308" t="s">
        <v>63</v>
      </c>
      <c r="L987" s="306" t="s">
        <v>1860</v>
      </c>
      <c r="M987" s="306" t="s">
        <v>59</v>
      </c>
      <c r="N987" s="306" t="s">
        <v>60</v>
      </c>
      <c r="O987" s="308" t="s">
        <v>1910</v>
      </c>
      <c r="P987" s="306" t="s">
        <v>2860</v>
      </c>
      <c r="Q987" s="315">
        <v>54686940</v>
      </c>
      <c r="R987" s="333">
        <v>1</v>
      </c>
      <c r="S987" s="312">
        <v>54686940</v>
      </c>
      <c r="T987" s="306"/>
      <c r="U987" s="306" t="s">
        <v>1876</v>
      </c>
      <c r="V987" s="313" t="s">
        <v>302</v>
      </c>
      <c r="W987" s="314" t="s">
        <v>63</v>
      </c>
      <c r="X987" s="334" t="s">
        <v>2861</v>
      </c>
      <c r="Y987" s="313">
        <v>43173</v>
      </c>
      <c r="Z987" s="315">
        <v>54686940</v>
      </c>
      <c r="AA987" s="316" t="s">
        <v>2402</v>
      </c>
      <c r="AB987" s="317">
        <v>722</v>
      </c>
      <c r="AC987" s="313">
        <v>43175</v>
      </c>
      <c r="AD987" s="312">
        <v>54686940</v>
      </c>
      <c r="AE987" s="318">
        <f t="shared" si="113"/>
        <v>0</v>
      </c>
      <c r="AF987" s="317">
        <v>1786</v>
      </c>
      <c r="AG987" s="313">
        <v>43202</v>
      </c>
      <c r="AH987" s="312">
        <v>54686940</v>
      </c>
      <c r="AI987" s="306" t="s">
        <v>2862</v>
      </c>
      <c r="AJ987" s="306">
        <v>1840</v>
      </c>
      <c r="AK987" s="318">
        <f t="shared" si="117"/>
        <v>0</v>
      </c>
      <c r="AL987" s="312">
        <f>VLOOKUP(AB987,RP,13,FALSE)</f>
        <v>0</v>
      </c>
      <c r="AM987" s="312">
        <f t="shared" si="115"/>
        <v>54686940</v>
      </c>
      <c r="AN987" s="306" t="s">
        <v>1863</v>
      </c>
      <c r="AO987" s="312">
        <f t="shared" si="116"/>
        <v>0</v>
      </c>
      <c r="AP987" s="306"/>
      <c r="AQ987" s="313">
        <v>43172</v>
      </c>
      <c r="AR987" s="306" t="s">
        <v>2760</v>
      </c>
      <c r="AS987" s="313">
        <v>43173</v>
      </c>
      <c r="AT987" s="306" t="s">
        <v>2860</v>
      </c>
    </row>
    <row r="988" spans="1:46" ht="191.25" x14ac:dyDescent="0.25">
      <c r="A988" s="306">
        <v>393</v>
      </c>
      <c r="B988" s="306" t="str">
        <f t="shared" si="114"/>
        <v>3075-393</v>
      </c>
      <c r="C988" s="307" t="s">
        <v>1852</v>
      </c>
      <c r="D988" s="308" t="s">
        <v>1853</v>
      </c>
      <c r="E988" s="308" t="s">
        <v>2119</v>
      </c>
      <c r="F988" s="307" t="s">
        <v>1880</v>
      </c>
      <c r="G988" s="327" t="s">
        <v>1881</v>
      </c>
      <c r="H988" s="310" t="s">
        <v>2120</v>
      </c>
      <c r="I988" s="308" t="s">
        <v>1858</v>
      </c>
      <c r="J988" s="308" t="s">
        <v>1859</v>
      </c>
      <c r="K988" s="308" t="s">
        <v>63</v>
      </c>
      <c r="L988" s="306" t="s">
        <v>1860</v>
      </c>
      <c r="M988" s="306" t="s">
        <v>59</v>
      </c>
      <c r="N988" s="306" t="s">
        <v>60</v>
      </c>
      <c r="O988" s="308" t="s">
        <v>1910</v>
      </c>
      <c r="P988" s="306" t="s">
        <v>2863</v>
      </c>
      <c r="Q988" s="315">
        <v>54686940</v>
      </c>
      <c r="R988" s="333">
        <v>1</v>
      </c>
      <c r="S988" s="312">
        <v>54686940</v>
      </c>
      <c r="T988" s="306"/>
      <c r="U988" s="306" t="s">
        <v>1876</v>
      </c>
      <c r="V988" s="320" t="s">
        <v>302</v>
      </c>
      <c r="W988" s="314" t="s">
        <v>63</v>
      </c>
      <c r="X988" s="334" t="s">
        <v>2864</v>
      </c>
      <c r="Y988" s="313">
        <v>43173</v>
      </c>
      <c r="Z988" s="315">
        <v>54686940</v>
      </c>
      <c r="AA988" s="316" t="s">
        <v>2402</v>
      </c>
      <c r="AB988" s="317">
        <v>721</v>
      </c>
      <c r="AC988" s="313">
        <v>43175</v>
      </c>
      <c r="AD988" s="312">
        <v>54686940</v>
      </c>
      <c r="AE988" s="318">
        <f t="shared" si="113"/>
        <v>0</v>
      </c>
      <c r="AF988" s="317"/>
      <c r="AG988" s="313"/>
      <c r="AH988" s="312"/>
      <c r="AI988" s="306"/>
      <c r="AJ988" s="306"/>
      <c r="AK988" s="318">
        <f t="shared" si="117"/>
        <v>54686940</v>
      </c>
      <c r="AL988" s="312">
        <v>0</v>
      </c>
      <c r="AM988" s="312">
        <f t="shared" si="115"/>
        <v>0</v>
      </c>
      <c r="AN988" s="306" t="s">
        <v>1863</v>
      </c>
      <c r="AO988" s="312">
        <f t="shared" si="116"/>
        <v>54686940</v>
      </c>
      <c r="AP988" s="306"/>
      <c r="AQ988" s="313">
        <v>43172</v>
      </c>
      <c r="AR988" s="306" t="s">
        <v>2760</v>
      </c>
      <c r="AS988" s="313">
        <v>43173</v>
      </c>
      <c r="AT988" s="306" t="s">
        <v>2863</v>
      </c>
    </row>
    <row r="989" spans="1:46" ht="191.25" x14ac:dyDescent="0.25">
      <c r="A989" s="306">
        <v>394</v>
      </c>
      <c r="B989" s="306" t="str">
        <f t="shared" si="114"/>
        <v>3075-394</v>
      </c>
      <c r="C989" s="307" t="s">
        <v>1852</v>
      </c>
      <c r="D989" s="308" t="s">
        <v>1853</v>
      </c>
      <c r="E989" s="308" t="s">
        <v>2119</v>
      </c>
      <c r="F989" s="307" t="s">
        <v>1880</v>
      </c>
      <c r="G989" s="327" t="s">
        <v>1881</v>
      </c>
      <c r="H989" s="310" t="s">
        <v>2120</v>
      </c>
      <c r="I989" s="308" t="s">
        <v>1858</v>
      </c>
      <c r="J989" s="308" t="s">
        <v>1859</v>
      </c>
      <c r="K989" s="308" t="s">
        <v>63</v>
      </c>
      <c r="L989" s="306" t="s">
        <v>1860</v>
      </c>
      <c r="M989" s="306" t="s">
        <v>59</v>
      </c>
      <c r="N989" s="306" t="s">
        <v>60</v>
      </c>
      <c r="O989" s="308" t="s">
        <v>1910</v>
      </c>
      <c r="P989" s="306" t="s">
        <v>2865</v>
      </c>
      <c r="Q989" s="315">
        <v>54686940</v>
      </c>
      <c r="R989" s="333">
        <v>1</v>
      </c>
      <c r="S989" s="312">
        <v>54686940</v>
      </c>
      <c r="T989" s="306"/>
      <c r="U989" s="306" t="s">
        <v>1876</v>
      </c>
      <c r="V989" s="313" t="s">
        <v>302</v>
      </c>
      <c r="W989" s="314" t="s">
        <v>63</v>
      </c>
      <c r="X989" s="334" t="s">
        <v>2866</v>
      </c>
      <c r="Y989" s="313">
        <v>43173</v>
      </c>
      <c r="Z989" s="315">
        <v>54686940</v>
      </c>
      <c r="AA989" s="316" t="s">
        <v>2402</v>
      </c>
      <c r="AB989" s="317">
        <v>720</v>
      </c>
      <c r="AC989" s="313">
        <v>43175</v>
      </c>
      <c r="AD989" s="312">
        <v>54686940</v>
      </c>
      <c r="AE989" s="318">
        <f t="shared" si="113"/>
        <v>0</v>
      </c>
      <c r="AF989" s="317">
        <v>1828</v>
      </c>
      <c r="AG989" s="313">
        <v>43210</v>
      </c>
      <c r="AH989" s="312">
        <v>54686940</v>
      </c>
      <c r="AI989" s="306" t="s">
        <v>2867</v>
      </c>
      <c r="AJ989" s="306">
        <v>1893</v>
      </c>
      <c r="AK989" s="318">
        <f t="shared" si="117"/>
        <v>0</v>
      </c>
      <c r="AL989" s="312">
        <f>VLOOKUP(AB989,RP,13,FALSE)</f>
        <v>0</v>
      </c>
      <c r="AM989" s="312">
        <f t="shared" si="115"/>
        <v>54686940</v>
      </c>
      <c r="AN989" s="306" t="s">
        <v>1863</v>
      </c>
      <c r="AO989" s="312">
        <f t="shared" si="116"/>
        <v>0</v>
      </c>
      <c r="AP989" s="306"/>
      <c r="AQ989" s="313">
        <v>43172</v>
      </c>
      <c r="AR989" s="306" t="s">
        <v>2760</v>
      </c>
      <c r="AS989" s="313">
        <v>43173</v>
      </c>
      <c r="AT989" s="306" t="s">
        <v>2865</v>
      </c>
    </row>
    <row r="990" spans="1:46" ht="191.25" x14ac:dyDescent="0.25">
      <c r="A990" s="306">
        <v>395</v>
      </c>
      <c r="B990" s="306" t="str">
        <f t="shared" si="114"/>
        <v>3075-395</v>
      </c>
      <c r="C990" s="307" t="s">
        <v>1852</v>
      </c>
      <c r="D990" s="308" t="s">
        <v>1853</v>
      </c>
      <c r="E990" s="308" t="s">
        <v>2119</v>
      </c>
      <c r="F990" s="307" t="s">
        <v>1880</v>
      </c>
      <c r="G990" s="327" t="s">
        <v>1881</v>
      </c>
      <c r="H990" s="310" t="s">
        <v>2120</v>
      </c>
      <c r="I990" s="308" t="s">
        <v>1858</v>
      </c>
      <c r="J990" s="308" t="s">
        <v>1859</v>
      </c>
      <c r="K990" s="308" t="s">
        <v>63</v>
      </c>
      <c r="L990" s="306" t="s">
        <v>1860</v>
      </c>
      <c r="M990" s="306" t="s">
        <v>59</v>
      </c>
      <c r="N990" s="306" t="s">
        <v>60</v>
      </c>
      <c r="O990" s="308" t="s">
        <v>1910</v>
      </c>
      <c r="P990" s="306" t="s">
        <v>2868</v>
      </c>
      <c r="Q990" s="315">
        <v>54686940</v>
      </c>
      <c r="R990" s="333">
        <v>1</v>
      </c>
      <c r="S990" s="312">
        <v>0</v>
      </c>
      <c r="T990" s="306"/>
      <c r="U990" s="306" t="s">
        <v>1876</v>
      </c>
      <c r="V990" s="351"/>
      <c r="W990" s="314" t="s">
        <v>63</v>
      </c>
      <c r="X990" s="334" t="s">
        <v>2869</v>
      </c>
      <c r="Y990" s="313">
        <v>43173</v>
      </c>
      <c r="Z990" s="315">
        <v>0</v>
      </c>
      <c r="AA990" s="316" t="s">
        <v>2402</v>
      </c>
      <c r="AB990" s="317" t="s">
        <v>2870</v>
      </c>
      <c r="AC990" s="313">
        <v>43175</v>
      </c>
      <c r="AD990" s="312">
        <v>0</v>
      </c>
      <c r="AE990" s="318">
        <f t="shared" si="113"/>
        <v>0</v>
      </c>
      <c r="AF990" s="317"/>
      <c r="AG990" s="313"/>
      <c r="AH990" s="312"/>
      <c r="AI990" s="306"/>
      <c r="AJ990" s="306"/>
      <c r="AK990" s="318">
        <f t="shared" si="117"/>
        <v>0</v>
      </c>
      <c r="AL990" s="312">
        <v>0</v>
      </c>
      <c r="AM990" s="312">
        <f t="shared" si="115"/>
        <v>0</v>
      </c>
      <c r="AN990" s="306" t="s">
        <v>1863</v>
      </c>
      <c r="AO990" s="312">
        <f t="shared" si="116"/>
        <v>0</v>
      </c>
      <c r="AP990" s="306" t="s">
        <v>2871</v>
      </c>
      <c r="AQ990" s="313">
        <v>43172</v>
      </c>
      <c r="AR990" s="306" t="s">
        <v>2760</v>
      </c>
      <c r="AS990" s="313">
        <v>43173</v>
      </c>
      <c r="AT990" s="306" t="s">
        <v>2868</v>
      </c>
    </row>
    <row r="991" spans="1:46" ht="191.25" x14ac:dyDescent="0.25">
      <c r="A991" s="306">
        <v>396</v>
      </c>
      <c r="B991" s="306" t="str">
        <f t="shared" si="114"/>
        <v>3075-396</v>
      </c>
      <c r="C991" s="307" t="s">
        <v>1852</v>
      </c>
      <c r="D991" s="308" t="s">
        <v>1853</v>
      </c>
      <c r="E991" s="308" t="s">
        <v>2119</v>
      </c>
      <c r="F991" s="307" t="s">
        <v>1880</v>
      </c>
      <c r="G991" s="327" t="s">
        <v>1881</v>
      </c>
      <c r="H991" s="310" t="s">
        <v>2120</v>
      </c>
      <c r="I991" s="308" t="s">
        <v>1858</v>
      </c>
      <c r="J991" s="308" t="s">
        <v>1859</v>
      </c>
      <c r="K991" s="308" t="s">
        <v>63</v>
      </c>
      <c r="L991" s="306" t="s">
        <v>1860</v>
      </c>
      <c r="M991" s="306" t="s">
        <v>59</v>
      </c>
      <c r="N991" s="306" t="s">
        <v>60</v>
      </c>
      <c r="O991" s="308" t="s">
        <v>1910</v>
      </c>
      <c r="P991" s="306" t="s">
        <v>2872</v>
      </c>
      <c r="Q991" s="315">
        <v>54686940</v>
      </c>
      <c r="R991" s="333">
        <v>1</v>
      </c>
      <c r="S991" s="312">
        <v>54686940</v>
      </c>
      <c r="T991" s="306"/>
      <c r="U991" s="306" t="s">
        <v>1876</v>
      </c>
      <c r="V991" s="313" t="s">
        <v>302</v>
      </c>
      <c r="W991" s="314" t="s">
        <v>63</v>
      </c>
      <c r="X991" s="334" t="s">
        <v>2873</v>
      </c>
      <c r="Y991" s="313">
        <v>43173</v>
      </c>
      <c r="Z991" s="315">
        <v>54686940</v>
      </c>
      <c r="AA991" s="316" t="s">
        <v>2402</v>
      </c>
      <c r="AB991" s="317">
        <v>729</v>
      </c>
      <c r="AC991" s="313">
        <v>43175</v>
      </c>
      <c r="AD991" s="312">
        <v>54686940</v>
      </c>
      <c r="AE991" s="318">
        <f t="shared" si="113"/>
        <v>0</v>
      </c>
      <c r="AF991" s="317">
        <v>1829</v>
      </c>
      <c r="AG991" s="313">
        <v>43210</v>
      </c>
      <c r="AH991" s="312">
        <v>54686940</v>
      </c>
      <c r="AI991" s="306" t="s">
        <v>2874</v>
      </c>
      <c r="AJ991" s="306">
        <v>1877</v>
      </c>
      <c r="AK991" s="318">
        <f t="shared" si="117"/>
        <v>0</v>
      </c>
      <c r="AL991" s="312">
        <f>VLOOKUP(AB991,RP,13,FALSE)</f>
        <v>0</v>
      </c>
      <c r="AM991" s="312">
        <f t="shared" si="115"/>
        <v>54686940</v>
      </c>
      <c r="AN991" s="306" t="s">
        <v>1863</v>
      </c>
      <c r="AO991" s="312">
        <f t="shared" si="116"/>
        <v>0</v>
      </c>
      <c r="AP991" s="306"/>
      <c r="AQ991" s="313">
        <v>43172</v>
      </c>
      <c r="AR991" s="306" t="s">
        <v>2760</v>
      </c>
      <c r="AS991" s="313">
        <v>43173</v>
      </c>
      <c r="AT991" s="306" t="s">
        <v>2872</v>
      </c>
    </row>
    <row r="992" spans="1:46" ht="191.25" x14ac:dyDescent="0.25">
      <c r="A992" s="306">
        <v>397</v>
      </c>
      <c r="B992" s="306" t="str">
        <f t="shared" si="114"/>
        <v>3075-397</v>
      </c>
      <c r="C992" s="307" t="s">
        <v>1852</v>
      </c>
      <c r="D992" s="308" t="s">
        <v>1853</v>
      </c>
      <c r="E992" s="308" t="s">
        <v>2119</v>
      </c>
      <c r="F992" s="307" t="s">
        <v>1880</v>
      </c>
      <c r="G992" s="327" t="s">
        <v>1881</v>
      </c>
      <c r="H992" s="310" t="s">
        <v>2120</v>
      </c>
      <c r="I992" s="308" t="s">
        <v>1858</v>
      </c>
      <c r="J992" s="308" t="s">
        <v>1859</v>
      </c>
      <c r="K992" s="308" t="s">
        <v>63</v>
      </c>
      <c r="L992" s="306" t="s">
        <v>1860</v>
      </c>
      <c r="M992" s="306" t="s">
        <v>59</v>
      </c>
      <c r="N992" s="306" t="s">
        <v>60</v>
      </c>
      <c r="O992" s="308" t="s">
        <v>1910</v>
      </c>
      <c r="P992" s="306" t="s">
        <v>2875</v>
      </c>
      <c r="Q992" s="315">
        <v>54686940</v>
      </c>
      <c r="R992" s="333">
        <v>1</v>
      </c>
      <c r="S992" s="312">
        <v>0</v>
      </c>
      <c r="T992" s="306"/>
      <c r="U992" s="306" t="s">
        <v>1876</v>
      </c>
      <c r="V992" s="351"/>
      <c r="W992" s="314" t="s">
        <v>63</v>
      </c>
      <c r="X992" s="334" t="s">
        <v>2876</v>
      </c>
      <c r="Y992" s="313">
        <v>43173</v>
      </c>
      <c r="Z992" s="315">
        <v>0</v>
      </c>
      <c r="AA992" s="316" t="s">
        <v>2402</v>
      </c>
      <c r="AB992" s="317" t="s">
        <v>2877</v>
      </c>
      <c r="AC992" s="313">
        <v>43175</v>
      </c>
      <c r="AD992" s="312">
        <v>0</v>
      </c>
      <c r="AE992" s="318">
        <f t="shared" si="113"/>
        <v>0</v>
      </c>
      <c r="AF992" s="317"/>
      <c r="AG992" s="313"/>
      <c r="AH992" s="312"/>
      <c r="AI992" s="306"/>
      <c r="AJ992" s="306"/>
      <c r="AK992" s="318">
        <f t="shared" si="117"/>
        <v>0</v>
      </c>
      <c r="AL992" s="312">
        <v>0</v>
      </c>
      <c r="AM992" s="312">
        <f t="shared" si="115"/>
        <v>0</v>
      </c>
      <c r="AN992" s="306" t="s">
        <v>1863</v>
      </c>
      <c r="AO992" s="312">
        <f t="shared" si="116"/>
        <v>0</v>
      </c>
      <c r="AP992" s="306" t="s">
        <v>2878</v>
      </c>
      <c r="AQ992" s="313">
        <v>43172</v>
      </c>
      <c r="AR992" s="306" t="s">
        <v>2760</v>
      </c>
      <c r="AS992" s="313">
        <v>43173</v>
      </c>
      <c r="AT992" s="306" t="s">
        <v>2875</v>
      </c>
    </row>
    <row r="993" spans="1:46" ht="191.25" x14ac:dyDescent="0.25">
      <c r="A993" s="306">
        <v>398</v>
      </c>
      <c r="B993" s="306" t="str">
        <f t="shared" si="114"/>
        <v>3075-398</v>
      </c>
      <c r="C993" s="307" t="s">
        <v>1852</v>
      </c>
      <c r="D993" s="308" t="s">
        <v>1853</v>
      </c>
      <c r="E993" s="308" t="s">
        <v>2119</v>
      </c>
      <c r="F993" s="307" t="s">
        <v>1880</v>
      </c>
      <c r="G993" s="327" t="s">
        <v>1881</v>
      </c>
      <c r="H993" s="310" t="s">
        <v>2120</v>
      </c>
      <c r="I993" s="308" t="s">
        <v>1858</v>
      </c>
      <c r="J993" s="308" t="s">
        <v>1859</v>
      </c>
      <c r="K993" s="308" t="s">
        <v>63</v>
      </c>
      <c r="L993" s="306" t="s">
        <v>1860</v>
      </c>
      <c r="M993" s="306" t="s">
        <v>59</v>
      </c>
      <c r="N993" s="306" t="s">
        <v>60</v>
      </c>
      <c r="O993" s="308" t="s">
        <v>1910</v>
      </c>
      <c r="P993" s="306" t="s">
        <v>2879</v>
      </c>
      <c r="Q993" s="315">
        <v>54686940</v>
      </c>
      <c r="R993" s="333">
        <v>1</v>
      </c>
      <c r="S993" s="312">
        <v>54686940</v>
      </c>
      <c r="T993" s="306"/>
      <c r="U993" s="306" t="s">
        <v>1876</v>
      </c>
      <c r="V993" s="313" t="s">
        <v>302</v>
      </c>
      <c r="W993" s="314" t="s">
        <v>63</v>
      </c>
      <c r="X993" s="334" t="s">
        <v>2880</v>
      </c>
      <c r="Y993" s="313">
        <v>43173</v>
      </c>
      <c r="Z993" s="315">
        <v>54686940</v>
      </c>
      <c r="AA993" s="316" t="s">
        <v>2402</v>
      </c>
      <c r="AB993" s="317">
        <v>733</v>
      </c>
      <c r="AC993" s="313">
        <v>43175</v>
      </c>
      <c r="AD993" s="312">
        <v>54686940</v>
      </c>
      <c r="AE993" s="318">
        <f t="shared" si="113"/>
        <v>0</v>
      </c>
      <c r="AF993" s="317">
        <v>1784</v>
      </c>
      <c r="AG993" s="313">
        <v>43202</v>
      </c>
      <c r="AH993" s="312">
        <v>54686940</v>
      </c>
      <c r="AI993" s="306" t="s">
        <v>2881</v>
      </c>
      <c r="AJ993" s="306">
        <v>1845</v>
      </c>
      <c r="AK993" s="318">
        <f t="shared" si="117"/>
        <v>0</v>
      </c>
      <c r="AL993" s="312">
        <f t="shared" ref="AL993:AL1003" si="118">VLOOKUP(AB993,RP,13,FALSE)</f>
        <v>0</v>
      </c>
      <c r="AM993" s="312">
        <f t="shared" si="115"/>
        <v>54686940</v>
      </c>
      <c r="AN993" s="306" t="s">
        <v>1863</v>
      </c>
      <c r="AO993" s="312">
        <f t="shared" si="116"/>
        <v>0</v>
      </c>
      <c r="AP993" s="306"/>
      <c r="AQ993" s="313">
        <v>43172</v>
      </c>
      <c r="AR993" s="306" t="s">
        <v>2760</v>
      </c>
      <c r="AS993" s="313">
        <v>43173</v>
      </c>
      <c r="AT993" s="306" t="s">
        <v>2879</v>
      </c>
    </row>
    <row r="994" spans="1:46" ht="191.25" x14ac:dyDescent="0.25">
      <c r="A994" s="306">
        <v>399</v>
      </c>
      <c r="B994" s="306" t="str">
        <f t="shared" si="114"/>
        <v>3075-399</v>
      </c>
      <c r="C994" s="307" t="s">
        <v>1852</v>
      </c>
      <c r="D994" s="308" t="s">
        <v>1853</v>
      </c>
      <c r="E994" s="308" t="s">
        <v>2119</v>
      </c>
      <c r="F994" s="307" t="s">
        <v>1880</v>
      </c>
      <c r="G994" s="327" t="s">
        <v>1881</v>
      </c>
      <c r="H994" s="310" t="s">
        <v>2120</v>
      </c>
      <c r="I994" s="308" t="s">
        <v>1858</v>
      </c>
      <c r="J994" s="308" t="s">
        <v>1859</v>
      </c>
      <c r="K994" s="308" t="s">
        <v>63</v>
      </c>
      <c r="L994" s="306" t="s">
        <v>1860</v>
      </c>
      <c r="M994" s="306" t="s">
        <v>59</v>
      </c>
      <c r="N994" s="306" t="s">
        <v>60</v>
      </c>
      <c r="O994" s="308" t="s">
        <v>1910</v>
      </c>
      <c r="P994" s="306" t="s">
        <v>2882</v>
      </c>
      <c r="Q994" s="315">
        <v>54686940</v>
      </c>
      <c r="R994" s="333">
        <v>1</v>
      </c>
      <c r="S994" s="312">
        <v>54686940</v>
      </c>
      <c r="T994" s="306"/>
      <c r="U994" s="306" t="s">
        <v>1876</v>
      </c>
      <c r="V994" s="313" t="s">
        <v>302</v>
      </c>
      <c r="W994" s="314" t="s">
        <v>63</v>
      </c>
      <c r="X994" s="334" t="s">
        <v>2883</v>
      </c>
      <c r="Y994" s="313">
        <v>43173</v>
      </c>
      <c r="Z994" s="315">
        <v>54686940</v>
      </c>
      <c r="AA994" s="316" t="s">
        <v>2402</v>
      </c>
      <c r="AB994" s="317">
        <v>736</v>
      </c>
      <c r="AC994" s="313">
        <v>43175</v>
      </c>
      <c r="AD994" s="312">
        <v>54686940</v>
      </c>
      <c r="AE994" s="318">
        <f t="shared" si="113"/>
        <v>0</v>
      </c>
      <c r="AF994" s="317">
        <v>1787</v>
      </c>
      <c r="AG994" s="313">
        <v>43202</v>
      </c>
      <c r="AH994" s="312">
        <v>54686940</v>
      </c>
      <c r="AI994" s="306" t="s">
        <v>2884</v>
      </c>
      <c r="AJ994" s="306">
        <v>1847</v>
      </c>
      <c r="AK994" s="318">
        <f t="shared" si="117"/>
        <v>0</v>
      </c>
      <c r="AL994" s="312">
        <f t="shared" si="118"/>
        <v>0</v>
      </c>
      <c r="AM994" s="312">
        <f t="shared" si="115"/>
        <v>54686940</v>
      </c>
      <c r="AN994" s="306" t="s">
        <v>1863</v>
      </c>
      <c r="AO994" s="312">
        <f t="shared" si="116"/>
        <v>0</v>
      </c>
      <c r="AP994" s="306"/>
      <c r="AQ994" s="313">
        <v>43172</v>
      </c>
      <c r="AR994" s="306" t="s">
        <v>2760</v>
      </c>
      <c r="AS994" s="313">
        <v>43173</v>
      </c>
      <c r="AT994" s="306" t="s">
        <v>2882</v>
      </c>
    </row>
    <row r="995" spans="1:46" ht="191.25" x14ac:dyDescent="0.25">
      <c r="A995" s="306">
        <v>400</v>
      </c>
      <c r="B995" s="306" t="str">
        <f t="shared" si="114"/>
        <v>3075-400</v>
      </c>
      <c r="C995" s="307" t="s">
        <v>1852</v>
      </c>
      <c r="D995" s="308" t="s">
        <v>1853</v>
      </c>
      <c r="E995" s="308" t="s">
        <v>2119</v>
      </c>
      <c r="F995" s="307" t="s">
        <v>1880</v>
      </c>
      <c r="G995" s="327" t="s">
        <v>1881</v>
      </c>
      <c r="H995" s="310" t="s">
        <v>2120</v>
      </c>
      <c r="I995" s="308" t="s">
        <v>1858</v>
      </c>
      <c r="J995" s="308" t="s">
        <v>1859</v>
      </c>
      <c r="K995" s="308" t="s">
        <v>63</v>
      </c>
      <c r="L995" s="306" t="s">
        <v>1860</v>
      </c>
      <c r="M995" s="306" t="s">
        <v>59</v>
      </c>
      <c r="N995" s="306" t="s">
        <v>60</v>
      </c>
      <c r="O995" s="308" t="s">
        <v>1910</v>
      </c>
      <c r="P995" s="306" t="s">
        <v>2885</v>
      </c>
      <c r="Q995" s="315">
        <v>54686940</v>
      </c>
      <c r="R995" s="333">
        <v>1</v>
      </c>
      <c r="S995" s="312">
        <v>54686940</v>
      </c>
      <c r="T995" s="306"/>
      <c r="U995" s="306" t="s">
        <v>1876</v>
      </c>
      <c r="V995" s="313" t="s">
        <v>302</v>
      </c>
      <c r="W995" s="314" t="s">
        <v>63</v>
      </c>
      <c r="X995" s="334" t="s">
        <v>2886</v>
      </c>
      <c r="Y995" s="313">
        <v>43173</v>
      </c>
      <c r="Z995" s="315">
        <v>54686940</v>
      </c>
      <c r="AA995" s="316" t="s">
        <v>2402</v>
      </c>
      <c r="AB995" s="317">
        <v>738</v>
      </c>
      <c r="AC995" s="313">
        <v>43175</v>
      </c>
      <c r="AD995" s="312">
        <v>54686940</v>
      </c>
      <c r="AE995" s="318">
        <f t="shared" si="113"/>
        <v>0</v>
      </c>
      <c r="AF995" s="317">
        <v>1791</v>
      </c>
      <c r="AG995" s="313">
        <v>43202</v>
      </c>
      <c r="AH995" s="312">
        <v>54686940</v>
      </c>
      <c r="AI995" s="306" t="s">
        <v>2887</v>
      </c>
      <c r="AJ995" s="306">
        <v>1843</v>
      </c>
      <c r="AK995" s="318">
        <f t="shared" si="117"/>
        <v>0</v>
      </c>
      <c r="AL995" s="312">
        <f t="shared" si="118"/>
        <v>0</v>
      </c>
      <c r="AM995" s="312">
        <f t="shared" si="115"/>
        <v>54686940</v>
      </c>
      <c r="AN995" s="306" t="s">
        <v>1863</v>
      </c>
      <c r="AO995" s="312">
        <f t="shared" si="116"/>
        <v>0</v>
      </c>
      <c r="AP995" s="306"/>
      <c r="AQ995" s="313">
        <v>43172</v>
      </c>
      <c r="AR995" s="306" t="s">
        <v>2760</v>
      </c>
      <c r="AS995" s="313">
        <v>43173</v>
      </c>
      <c r="AT995" s="306" t="s">
        <v>2885</v>
      </c>
    </row>
    <row r="996" spans="1:46" ht="191.25" x14ac:dyDescent="0.25">
      <c r="A996" s="306">
        <v>401</v>
      </c>
      <c r="B996" s="306" t="str">
        <f t="shared" si="114"/>
        <v>3075-401</v>
      </c>
      <c r="C996" s="307" t="s">
        <v>1852</v>
      </c>
      <c r="D996" s="308" t="s">
        <v>1853</v>
      </c>
      <c r="E996" s="308" t="s">
        <v>2119</v>
      </c>
      <c r="F996" s="307" t="s">
        <v>1880</v>
      </c>
      <c r="G996" s="327" t="s">
        <v>1881</v>
      </c>
      <c r="H996" s="310" t="s">
        <v>2120</v>
      </c>
      <c r="I996" s="308" t="s">
        <v>1858</v>
      </c>
      <c r="J996" s="308" t="s">
        <v>1859</v>
      </c>
      <c r="K996" s="308" t="s">
        <v>63</v>
      </c>
      <c r="L996" s="306" t="s">
        <v>1860</v>
      </c>
      <c r="M996" s="306" t="s">
        <v>59</v>
      </c>
      <c r="N996" s="306" t="s">
        <v>60</v>
      </c>
      <c r="O996" s="308" t="s">
        <v>1910</v>
      </c>
      <c r="P996" s="306" t="s">
        <v>2888</v>
      </c>
      <c r="Q996" s="315">
        <v>54686940</v>
      </c>
      <c r="R996" s="333">
        <v>1</v>
      </c>
      <c r="S996" s="312">
        <v>54686940</v>
      </c>
      <c r="T996" s="306"/>
      <c r="U996" s="306" t="s">
        <v>1876</v>
      </c>
      <c r="V996" s="313" t="s">
        <v>302</v>
      </c>
      <c r="W996" s="314" t="s">
        <v>63</v>
      </c>
      <c r="X996" s="334" t="s">
        <v>2889</v>
      </c>
      <c r="Y996" s="313">
        <v>43173</v>
      </c>
      <c r="Z996" s="315">
        <v>54686940</v>
      </c>
      <c r="AA996" s="316" t="s">
        <v>2402</v>
      </c>
      <c r="AB996" s="317">
        <v>744</v>
      </c>
      <c r="AC996" s="313">
        <v>43175</v>
      </c>
      <c r="AD996" s="312">
        <v>54686940</v>
      </c>
      <c r="AE996" s="318">
        <f t="shared" si="113"/>
        <v>0</v>
      </c>
      <c r="AF996" s="317">
        <v>1785</v>
      </c>
      <c r="AG996" s="313">
        <v>43202</v>
      </c>
      <c r="AH996" s="312">
        <v>54686940</v>
      </c>
      <c r="AI996" s="306" t="s">
        <v>2890</v>
      </c>
      <c r="AJ996" s="306">
        <v>1846</v>
      </c>
      <c r="AK996" s="318">
        <f t="shared" si="117"/>
        <v>0</v>
      </c>
      <c r="AL996" s="312">
        <f t="shared" si="118"/>
        <v>0</v>
      </c>
      <c r="AM996" s="312">
        <f t="shared" si="115"/>
        <v>54686940</v>
      </c>
      <c r="AN996" s="306" t="s">
        <v>1863</v>
      </c>
      <c r="AO996" s="312">
        <f t="shared" si="116"/>
        <v>0</v>
      </c>
      <c r="AP996" s="306"/>
      <c r="AQ996" s="313">
        <v>43172</v>
      </c>
      <c r="AR996" s="306" t="s">
        <v>2760</v>
      </c>
      <c r="AS996" s="313">
        <v>43173</v>
      </c>
      <c r="AT996" s="306" t="s">
        <v>2888</v>
      </c>
    </row>
    <row r="997" spans="1:46" ht="191.25" x14ac:dyDescent="0.25">
      <c r="A997" s="306">
        <v>402</v>
      </c>
      <c r="B997" s="306" t="str">
        <f t="shared" si="114"/>
        <v>3075-402</v>
      </c>
      <c r="C997" s="307" t="s">
        <v>1852</v>
      </c>
      <c r="D997" s="308" t="s">
        <v>1853</v>
      </c>
      <c r="E997" s="308" t="s">
        <v>2119</v>
      </c>
      <c r="F997" s="307" t="s">
        <v>1880</v>
      </c>
      <c r="G997" s="327" t="s">
        <v>1881</v>
      </c>
      <c r="H997" s="310" t="s">
        <v>2120</v>
      </c>
      <c r="I997" s="308" t="s">
        <v>1858</v>
      </c>
      <c r="J997" s="308" t="s">
        <v>1859</v>
      </c>
      <c r="K997" s="308" t="s">
        <v>63</v>
      </c>
      <c r="L997" s="306" t="s">
        <v>1860</v>
      </c>
      <c r="M997" s="306" t="s">
        <v>59</v>
      </c>
      <c r="N997" s="306" t="s">
        <v>60</v>
      </c>
      <c r="O997" s="308" t="s">
        <v>1910</v>
      </c>
      <c r="P997" s="306" t="s">
        <v>2891</v>
      </c>
      <c r="Q997" s="315">
        <v>54686940</v>
      </c>
      <c r="R997" s="333">
        <v>1</v>
      </c>
      <c r="S997" s="312">
        <v>54686940</v>
      </c>
      <c r="T997" s="306"/>
      <c r="U997" s="306" t="s">
        <v>1876</v>
      </c>
      <c r="V997" s="313" t="s">
        <v>302</v>
      </c>
      <c r="W997" s="314" t="s">
        <v>63</v>
      </c>
      <c r="X997" s="334" t="s">
        <v>2892</v>
      </c>
      <c r="Y997" s="313">
        <v>43173</v>
      </c>
      <c r="Z997" s="315">
        <v>54686940</v>
      </c>
      <c r="AA997" s="316" t="s">
        <v>2402</v>
      </c>
      <c r="AB997" s="317">
        <v>745</v>
      </c>
      <c r="AC997" s="313">
        <v>43175</v>
      </c>
      <c r="AD997" s="312">
        <v>54686940</v>
      </c>
      <c r="AE997" s="318">
        <f t="shared" si="113"/>
        <v>0</v>
      </c>
      <c r="AF997" s="317">
        <v>1815</v>
      </c>
      <c r="AG997" s="313">
        <v>43209</v>
      </c>
      <c r="AH997" s="312">
        <v>54686940</v>
      </c>
      <c r="AI997" s="306" t="s">
        <v>2893</v>
      </c>
      <c r="AJ997" s="306">
        <v>1872</v>
      </c>
      <c r="AK997" s="318">
        <f t="shared" si="117"/>
        <v>0</v>
      </c>
      <c r="AL997" s="312">
        <f t="shared" si="118"/>
        <v>0</v>
      </c>
      <c r="AM997" s="312">
        <f t="shared" si="115"/>
        <v>54686940</v>
      </c>
      <c r="AN997" s="306" t="s">
        <v>1863</v>
      </c>
      <c r="AO997" s="312">
        <f t="shared" si="116"/>
        <v>0</v>
      </c>
      <c r="AP997" s="306"/>
      <c r="AQ997" s="313">
        <v>43172</v>
      </c>
      <c r="AR997" s="306" t="s">
        <v>2760</v>
      </c>
      <c r="AS997" s="313">
        <v>43173</v>
      </c>
      <c r="AT997" s="306" t="s">
        <v>2891</v>
      </c>
    </row>
    <row r="998" spans="1:46" ht="191.25" x14ac:dyDescent="0.25">
      <c r="A998" s="306">
        <v>403</v>
      </c>
      <c r="B998" s="306" t="str">
        <f t="shared" si="114"/>
        <v>3075-403</v>
      </c>
      <c r="C998" s="307" t="s">
        <v>1852</v>
      </c>
      <c r="D998" s="308" t="s">
        <v>1853</v>
      </c>
      <c r="E998" s="308" t="s">
        <v>2119</v>
      </c>
      <c r="F998" s="307" t="s">
        <v>1880</v>
      </c>
      <c r="G998" s="327" t="s">
        <v>1881</v>
      </c>
      <c r="H998" s="310" t="s">
        <v>2120</v>
      </c>
      <c r="I998" s="308" t="s">
        <v>1858</v>
      </c>
      <c r="J998" s="308" t="s">
        <v>1859</v>
      </c>
      <c r="K998" s="308" t="s">
        <v>63</v>
      </c>
      <c r="L998" s="306" t="s">
        <v>1860</v>
      </c>
      <c r="M998" s="306" t="s">
        <v>59</v>
      </c>
      <c r="N998" s="306" t="s">
        <v>60</v>
      </c>
      <c r="O998" s="308" t="s">
        <v>1910</v>
      </c>
      <c r="P998" s="306" t="s">
        <v>2894</v>
      </c>
      <c r="Q998" s="315">
        <v>54686940</v>
      </c>
      <c r="R998" s="333">
        <v>1</v>
      </c>
      <c r="S998" s="312">
        <v>54686940</v>
      </c>
      <c r="T998" s="306"/>
      <c r="U998" s="306" t="s">
        <v>1876</v>
      </c>
      <c r="V998" s="313" t="s">
        <v>302</v>
      </c>
      <c r="W998" s="314" t="s">
        <v>63</v>
      </c>
      <c r="X998" s="334" t="s">
        <v>2895</v>
      </c>
      <c r="Y998" s="313">
        <v>43173</v>
      </c>
      <c r="Z998" s="315">
        <v>54686940</v>
      </c>
      <c r="AA998" s="316" t="s">
        <v>2402</v>
      </c>
      <c r="AB998" s="317">
        <v>747</v>
      </c>
      <c r="AC998" s="313">
        <v>43175</v>
      </c>
      <c r="AD998" s="312">
        <v>54686940</v>
      </c>
      <c r="AE998" s="318">
        <f t="shared" si="113"/>
        <v>0</v>
      </c>
      <c r="AF998" s="317">
        <v>1762</v>
      </c>
      <c r="AG998" s="313">
        <v>43201</v>
      </c>
      <c r="AH998" s="312">
        <v>54686940</v>
      </c>
      <c r="AI998" s="306" t="s">
        <v>2896</v>
      </c>
      <c r="AJ998" s="306">
        <v>1777</v>
      </c>
      <c r="AK998" s="318">
        <f t="shared" si="117"/>
        <v>0</v>
      </c>
      <c r="AL998" s="312">
        <f t="shared" si="118"/>
        <v>0</v>
      </c>
      <c r="AM998" s="312">
        <f t="shared" si="115"/>
        <v>54686940</v>
      </c>
      <c r="AN998" s="306" t="s">
        <v>1863</v>
      </c>
      <c r="AO998" s="312">
        <f t="shared" si="116"/>
        <v>0</v>
      </c>
      <c r="AP998" s="306"/>
      <c r="AQ998" s="313">
        <v>43172</v>
      </c>
      <c r="AR998" s="306" t="s">
        <v>2760</v>
      </c>
      <c r="AS998" s="313">
        <v>43173</v>
      </c>
      <c r="AT998" s="306" t="s">
        <v>2894</v>
      </c>
    </row>
    <row r="999" spans="1:46" ht="191.25" x14ac:dyDescent="0.25">
      <c r="A999" s="306">
        <v>404</v>
      </c>
      <c r="B999" s="306" t="str">
        <f t="shared" si="114"/>
        <v>3075-404</v>
      </c>
      <c r="C999" s="307" t="s">
        <v>1852</v>
      </c>
      <c r="D999" s="308" t="s">
        <v>1853</v>
      </c>
      <c r="E999" s="308" t="s">
        <v>2119</v>
      </c>
      <c r="F999" s="307" t="s">
        <v>1880</v>
      </c>
      <c r="G999" s="327" t="s">
        <v>1881</v>
      </c>
      <c r="H999" s="310" t="s">
        <v>2120</v>
      </c>
      <c r="I999" s="308" t="s">
        <v>1858</v>
      </c>
      <c r="J999" s="308" t="s">
        <v>1859</v>
      </c>
      <c r="K999" s="308" t="s">
        <v>63</v>
      </c>
      <c r="L999" s="306" t="s">
        <v>1860</v>
      </c>
      <c r="M999" s="306" t="s">
        <v>59</v>
      </c>
      <c r="N999" s="306" t="s">
        <v>60</v>
      </c>
      <c r="O999" s="308" t="s">
        <v>1910</v>
      </c>
      <c r="P999" s="306" t="s">
        <v>2897</v>
      </c>
      <c r="Q999" s="315">
        <v>54686940</v>
      </c>
      <c r="R999" s="333">
        <v>1</v>
      </c>
      <c r="S999" s="312">
        <v>54686940</v>
      </c>
      <c r="T999" s="306"/>
      <c r="U999" s="306" t="s">
        <v>1876</v>
      </c>
      <c r="V999" s="313" t="s">
        <v>302</v>
      </c>
      <c r="W999" s="314" t="s">
        <v>63</v>
      </c>
      <c r="X999" s="334" t="s">
        <v>2898</v>
      </c>
      <c r="Y999" s="313">
        <v>43173</v>
      </c>
      <c r="Z999" s="315">
        <v>54686940</v>
      </c>
      <c r="AA999" s="316" t="s">
        <v>2402</v>
      </c>
      <c r="AB999" s="317">
        <v>732</v>
      </c>
      <c r="AC999" s="313">
        <v>43175</v>
      </c>
      <c r="AD999" s="312">
        <v>54686940</v>
      </c>
      <c r="AE999" s="318">
        <f t="shared" si="113"/>
        <v>0</v>
      </c>
      <c r="AF999" s="317">
        <v>1788</v>
      </c>
      <c r="AG999" s="313">
        <v>43202</v>
      </c>
      <c r="AH999" s="312">
        <v>54686940</v>
      </c>
      <c r="AI999" s="306" t="s">
        <v>2899</v>
      </c>
      <c r="AJ999" s="306">
        <v>1841</v>
      </c>
      <c r="AK999" s="318">
        <f t="shared" si="117"/>
        <v>0</v>
      </c>
      <c r="AL999" s="312">
        <f t="shared" si="118"/>
        <v>0</v>
      </c>
      <c r="AM999" s="312">
        <f t="shared" si="115"/>
        <v>54686940</v>
      </c>
      <c r="AN999" s="306" t="s">
        <v>1863</v>
      </c>
      <c r="AO999" s="312">
        <f t="shared" si="116"/>
        <v>0</v>
      </c>
      <c r="AP999" s="306"/>
      <c r="AQ999" s="313">
        <v>43172</v>
      </c>
      <c r="AR999" s="306" t="s">
        <v>2760</v>
      </c>
      <c r="AS999" s="313">
        <v>43173</v>
      </c>
      <c r="AT999" s="306" t="s">
        <v>2897</v>
      </c>
    </row>
    <row r="1000" spans="1:46" ht="191.25" x14ac:dyDescent="0.25">
      <c r="A1000" s="306">
        <v>405</v>
      </c>
      <c r="B1000" s="306" t="str">
        <f t="shared" si="114"/>
        <v>3075-405</v>
      </c>
      <c r="C1000" s="307" t="s">
        <v>1852</v>
      </c>
      <c r="D1000" s="308" t="s">
        <v>1853</v>
      </c>
      <c r="E1000" s="308" t="s">
        <v>2119</v>
      </c>
      <c r="F1000" s="307" t="s">
        <v>1880</v>
      </c>
      <c r="G1000" s="327" t="s">
        <v>1881</v>
      </c>
      <c r="H1000" s="310" t="s">
        <v>2120</v>
      </c>
      <c r="I1000" s="308" t="s">
        <v>1858</v>
      </c>
      <c r="J1000" s="308" t="s">
        <v>1859</v>
      </c>
      <c r="K1000" s="308" t="s">
        <v>63</v>
      </c>
      <c r="L1000" s="306" t="s">
        <v>1860</v>
      </c>
      <c r="M1000" s="306" t="s">
        <v>59</v>
      </c>
      <c r="N1000" s="306" t="s">
        <v>60</v>
      </c>
      <c r="O1000" s="308" t="s">
        <v>1910</v>
      </c>
      <c r="P1000" s="306" t="s">
        <v>2900</v>
      </c>
      <c r="Q1000" s="315">
        <v>54686940</v>
      </c>
      <c r="R1000" s="333">
        <v>1</v>
      </c>
      <c r="S1000" s="312">
        <v>54686940</v>
      </c>
      <c r="T1000" s="306"/>
      <c r="U1000" s="306" t="s">
        <v>1876</v>
      </c>
      <c r="V1000" s="313" t="s">
        <v>302</v>
      </c>
      <c r="W1000" s="314" t="s">
        <v>63</v>
      </c>
      <c r="X1000" s="334" t="s">
        <v>2901</v>
      </c>
      <c r="Y1000" s="313">
        <v>43173</v>
      </c>
      <c r="Z1000" s="315">
        <v>54686940</v>
      </c>
      <c r="AA1000" s="316" t="s">
        <v>2402</v>
      </c>
      <c r="AB1000" s="317">
        <v>734</v>
      </c>
      <c r="AC1000" s="313">
        <v>43175</v>
      </c>
      <c r="AD1000" s="312">
        <v>54686940</v>
      </c>
      <c r="AE1000" s="318">
        <f t="shared" si="113"/>
        <v>0</v>
      </c>
      <c r="AF1000" s="317">
        <v>1789</v>
      </c>
      <c r="AG1000" s="313">
        <v>43202</v>
      </c>
      <c r="AH1000" s="312">
        <v>54686940</v>
      </c>
      <c r="AI1000" s="306" t="s">
        <v>2902</v>
      </c>
      <c r="AJ1000" s="306">
        <v>1848</v>
      </c>
      <c r="AK1000" s="318">
        <f t="shared" si="117"/>
        <v>0</v>
      </c>
      <c r="AL1000" s="312">
        <f t="shared" si="118"/>
        <v>0</v>
      </c>
      <c r="AM1000" s="312">
        <f t="shared" si="115"/>
        <v>54686940</v>
      </c>
      <c r="AN1000" s="306" t="s">
        <v>1863</v>
      </c>
      <c r="AO1000" s="312">
        <f t="shared" si="116"/>
        <v>0</v>
      </c>
      <c r="AP1000" s="306"/>
      <c r="AQ1000" s="313">
        <v>43172</v>
      </c>
      <c r="AR1000" s="306" t="s">
        <v>2760</v>
      </c>
      <c r="AS1000" s="313">
        <v>43173</v>
      </c>
      <c r="AT1000" s="306" t="s">
        <v>2900</v>
      </c>
    </row>
    <row r="1001" spans="1:46" ht="191.25" x14ac:dyDescent="0.25">
      <c r="A1001" s="306">
        <v>406</v>
      </c>
      <c r="B1001" s="306" t="str">
        <f t="shared" si="114"/>
        <v>3075-406</v>
      </c>
      <c r="C1001" s="307" t="s">
        <v>1852</v>
      </c>
      <c r="D1001" s="308" t="s">
        <v>1853</v>
      </c>
      <c r="E1001" s="308" t="s">
        <v>2119</v>
      </c>
      <c r="F1001" s="307" t="s">
        <v>1880</v>
      </c>
      <c r="G1001" s="327" t="s">
        <v>1881</v>
      </c>
      <c r="H1001" s="310" t="s">
        <v>2120</v>
      </c>
      <c r="I1001" s="308" t="s">
        <v>1858</v>
      </c>
      <c r="J1001" s="308" t="s">
        <v>1859</v>
      </c>
      <c r="K1001" s="308" t="s">
        <v>63</v>
      </c>
      <c r="L1001" s="306" t="s">
        <v>1860</v>
      </c>
      <c r="M1001" s="306" t="s">
        <v>59</v>
      </c>
      <c r="N1001" s="306" t="s">
        <v>60</v>
      </c>
      <c r="O1001" s="308" t="s">
        <v>1910</v>
      </c>
      <c r="P1001" s="306" t="s">
        <v>2903</v>
      </c>
      <c r="Q1001" s="315">
        <v>54686940</v>
      </c>
      <c r="R1001" s="333">
        <v>1</v>
      </c>
      <c r="S1001" s="312">
        <v>54686940</v>
      </c>
      <c r="T1001" s="306"/>
      <c r="U1001" s="306" t="s">
        <v>1876</v>
      </c>
      <c r="V1001" s="313" t="s">
        <v>302</v>
      </c>
      <c r="W1001" s="314" t="s">
        <v>63</v>
      </c>
      <c r="X1001" s="334" t="s">
        <v>2904</v>
      </c>
      <c r="Y1001" s="313">
        <v>43173</v>
      </c>
      <c r="Z1001" s="315">
        <v>54686940</v>
      </c>
      <c r="AA1001" s="316" t="s">
        <v>2402</v>
      </c>
      <c r="AB1001" s="317">
        <v>735</v>
      </c>
      <c r="AC1001" s="313">
        <v>43175</v>
      </c>
      <c r="AD1001" s="312">
        <v>54686940</v>
      </c>
      <c r="AE1001" s="318">
        <f t="shared" si="113"/>
        <v>0</v>
      </c>
      <c r="AF1001" s="317">
        <v>1783</v>
      </c>
      <c r="AG1001" s="313">
        <v>43202</v>
      </c>
      <c r="AH1001" s="312">
        <v>54686940</v>
      </c>
      <c r="AI1001" s="306" t="s">
        <v>2905</v>
      </c>
      <c r="AJ1001" s="306">
        <v>1839</v>
      </c>
      <c r="AK1001" s="318">
        <f t="shared" si="117"/>
        <v>0</v>
      </c>
      <c r="AL1001" s="312">
        <f t="shared" si="118"/>
        <v>0</v>
      </c>
      <c r="AM1001" s="312">
        <f t="shared" si="115"/>
        <v>54686940</v>
      </c>
      <c r="AN1001" s="306" t="s">
        <v>1863</v>
      </c>
      <c r="AO1001" s="312">
        <f t="shared" si="116"/>
        <v>0</v>
      </c>
      <c r="AP1001" s="306"/>
      <c r="AQ1001" s="313">
        <v>43172</v>
      </c>
      <c r="AR1001" s="306" t="s">
        <v>2760</v>
      </c>
      <c r="AS1001" s="313">
        <v>43173</v>
      </c>
      <c r="AT1001" s="306" t="s">
        <v>2903</v>
      </c>
    </row>
    <row r="1002" spans="1:46" ht="114.75" x14ac:dyDescent="0.25">
      <c r="A1002" s="306">
        <v>407</v>
      </c>
      <c r="B1002" s="306" t="str">
        <f t="shared" si="114"/>
        <v>3075-407</v>
      </c>
      <c r="C1002" s="307" t="s">
        <v>1852</v>
      </c>
      <c r="D1002" s="308" t="s">
        <v>1853</v>
      </c>
      <c r="E1002" s="308" t="s">
        <v>1879</v>
      </c>
      <c r="F1002" s="307" t="s">
        <v>1880</v>
      </c>
      <c r="G1002" s="309" t="s">
        <v>1881</v>
      </c>
      <c r="H1002" s="310" t="s">
        <v>1882</v>
      </c>
      <c r="I1002" s="308" t="s">
        <v>1858</v>
      </c>
      <c r="J1002" s="308" t="s">
        <v>1883</v>
      </c>
      <c r="K1002" s="308" t="s">
        <v>63</v>
      </c>
      <c r="L1002" s="306" t="s">
        <v>1860</v>
      </c>
      <c r="M1002" s="306" t="s">
        <v>59</v>
      </c>
      <c r="N1002" s="306" t="s">
        <v>60</v>
      </c>
      <c r="O1002" s="308" t="s">
        <v>1874</v>
      </c>
      <c r="P1002" s="308" t="s">
        <v>2906</v>
      </c>
      <c r="Q1002" s="311">
        <v>39062100</v>
      </c>
      <c r="R1002" s="306">
        <v>1</v>
      </c>
      <c r="S1002" s="312">
        <v>39062100</v>
      </c>
      <c r="T1002" s="306"/>
      <c r="U1002" s="306" t="s">
        <v>1876</v>
      </c>
      <c r="V1002" s="313" t="s">
        <v>302</v>
      </c>
      <c r="W1002" s="314" t="s">
        <v>63</v>
      </c>
      <c r="X1002" s="334" t="s">
        <v>2907</v>
      </c>
      <c r="Y1002" s="313">
        <v>43173</v>
      </c>
      <c r="Z1002" s="315">
        <v>39062100</v>
      </c>
      <c r="AA1002" s="316" t="s">
        <v>2680</v>
      </c>
      <c r="AB1002" s="317">
        <v>737</v>
      </c>
      <c r="AC1002" s="313">
        <v>43175</v>
      </c>
      <c r="AD1002" s="312">
        <v>39062100</v>
      </c>
      <c r="AE1002" s="318">
        <f t="shared" si="113"/>
        <v>0</v>
      </c>
      <c r="AF1002" s="317">
        <v>1761</v>
      </c>
      <c r="AG1002" s="313">
        <v>43201</v>
      </c>
      <c r="AH1002" s="312">
        <v>39062100</v>
      </c>
      <c r="AI1002" s="306" t="s">
        <v>2908</v>
      </c>
      <c r="AJ1002" s="306">
        <v>1783</v>
      </c>
      <c r="AK1002" s="318">
        <f t="shared" si="117"/>
        <v>0</v>
      </c>
      <c r="AL1002" s="312">
        <f t="shared" si="118"/>
        <v>0</v>
      </c>
      <c r="AM1002" s="312">
        <f t="shared" si="115"/>
        <v>39062100</v>
      </c>
      <c r="AN1002" s="306" t="s">
        <v>1863</v>
      </c>
      <c r="AO1002" s="312">
        <f t="shared" si="116"/>
        <v>0</v>
      </c>
      <c r="AP1002" s="306"/>
      <c r="AQ1002" s="313">
        <v>43172</v>
      </c>
      <c r="AR1002" s="306" t="s">
        <v>2760</v>
      </c>
      <c r="AS1002" s="313">
        <v>43173</v>
      </c>
      <c r="AT1002" s="306" t="s">
        <v>2906</v>
      </c>
    </row>
    <row r="1003" spans="1:46" ht="127.5" x14ac:dyDescent="0.25">
      <c r="A1003" s="306">
        <v>408</v>
      </c>
      <c r="B1003" s="306" t="str">
        <f t="shared" si="114"/>
        <v>3075-408</v>
      </c>
      <c r="C1003" s="307" t="s">
        <v>1852</v>
      </c>
      <c r="D1003" s="308" t="s">
        <v>1853</v>
      </c>
      <c r="E1003" s="308" t="s">
        <v>1879</v>
      </c>
      <c r="F1003" s="307" t="s">
        <v>1880</v>
      </c>
      <c r="G1003" s="309" t="s">
        <v>1881</v>
      </c>
      <c r="H1003" s="310" t="s">
        <v>1882</v>
      </c>
      <c r="I1003" s="308" t="s">
        <v>1858</v>
      </c>
      <c r="J1003" s="308" t="s">
        <v>1883</v>
      </c>
      <c r="K1003" s="308" t="s">
        <v>63</v>
      </c>
      <c r="L1003" s="306" t="s">
        <v>1860</v>
      </c>
      <c r="M1003" s="306" t="s">
        <v>59</v>
      </c>
      <c r="N1003" s="306" t="s">
        <v>60</v>
      </c>
      <c r="O1003" s="308" t="s">
        <v>1874</v>
      </c>
      <c r="P1003" s="308" t="s">
        <v>2909</v>
      </c>
      <c r="Q1003" s="311">
        <v>39062100</v>
      </c>
      <c r="R1003" s="306">
        <v>1</v>
      </c>
      <c r="S1003" s="312">
        <v>39062100</v>
      </c>
      <c r="T1003" s="306"/>
      <c r="U1003" s="306" t="s">
        <v>1876</v>
      </c>
      <c r="V1003" s="313" t="s">
        <v>302</v>
      </c>
      <c r="W1003" s="314" t="s">
        <v>63</v>
      </c>
      <c r="X1003" s="334" t="s">
        <v>2910</v>
      </c>
      <c r="Y1003" s="313">
        <v>43173</v>
      </c>
      <c r="Z1003" s="315">
        <v>39062100</v>
      </c>
      <c r="AA1003" s="316" t="s">
        <v>2680</v>
      </c>
      <c r="AB1003" s="317">
        <v>739</v>
      </c>
      <c r="AC1003" s="313">
        <v>43175</v>
      </c>
      <c r="AD1003" s="312">
        <v>39062100</v>
      </c>
      <c r="AE1003" s="318">
        <f t="shared" si="113"/>
        <v>0</v>
      </c>
      <c r="AF1003" s="317">
        <v>1792</v>
      </c>
      <c r="AG1003" s="313">
        <v>43203</v>
      </c>
      <c r="AH1003" s="312">
        <v>39062100</v>
      </c>
      <c r="AI1003" s="306" t="s">
        <v>2911</v>
      </c>
      <c r="AJ1003" s="306">
        <v>1862</v>
      </c>
      <c r="AK1003" s="318">
        <f t="shared" si="117"/>
        <v>0</v>
      </c>
      <c r="AL1003" s="312">
        <f t="shared" si="118"/>
        <v>0</v>
      </c>
      <c r="AM1003" s="312">
        <f t="shared" si="115"/>
        <v>39062100</v>
      </c>
      <c r="AN1003" s="306" t="s">
        <v>1863</v>
      </c>
      <c r="AO1003" s="312">
        <f t="shared" si="116"/>
        <v>0</v>
      </c>
      <c r="AP1003" s="306"/>
      <c r="AQ1003" s="313">
        <v>43172</v>
      </c>
      <c r="AR1003" s="306" t="s">
        <v>2760</v>
      </c>
      <c r="AS1003" s="313">
        <v>43173</v>
      </c>
      <c r="AT1003" s="306" t="s">
        <v>2909</v>
      </c>
    </row>
    <row r="1004" spans="1:46" ht="114.75" x14ac:dyDescent="0.25">
      <c r="A1004" s="306">
        <v>409</v>
      </c>
      <c r="B1004" s="306" t="str">
        <f t="shared" si="114"/>
        <v>3075-409</v>
      </c>
      <c r="C1004" s="307" t="s">
        <v>1852</v>
      </c>
      <c r="D1004" s="308" t="s">
        <v>1853</v>
      </c>
      <c r="E1004" s="308" t="s">
        <v>1879</v>
      </c>
      <c r="F1004" s="307" t="s">
        <v>1880</v>
      </c>
      <c r="G1004" s="309" t="s">
        <v>1881</v>
      </c>
      <c r="H1004" s="310" t="s">
        <v>1882</v>
      </c>
      <c r="I1004" s="308" t="s">
        <v>1858</v>
      </c>
      <c r="J1004" s="308" t="s">
        <v>1883</v>
      </c>
      <c r="K1004" s="308" t="s">
        <v>63</v>
      </c>
      <c r="L1004" s="306" t="s">
        <v>1860</v>
      </c>
      <c r="M1004" s="306" t="s">
        <v>59</v>
      </c>
      <c r="N1004" s="306" t="s">
        <v>60</v>
      </c>
      <c r="O1004" s="308" t="s">
        <v>1874</v>
      </c>
      <c r="P1004" s="308" t="s">
        <v>2912</v>
      </c>
      <c r="Q1004" s="311">
        <v>39062100</v>
      </c>
      <c r="R1004" s="306">
        <v>1</v>
      </c>
      <c r="S1004" s="312">
        <v>39062100</v>
      </c>
      <c r="T1004" s="306"/>
      <c r="U1004" s="306" t="s">
        <v>1876</v>
      </c>
      <c r="V1004" s="320" t="s">
        <v>302</v>
      </c>
      <c r="W1004" s="314" t="s">
        <v>63</v>
      </c>
      <c r="X1004" s="334" t="s">
        <v>2913</v>
      </c>
      <c r="Y1004" s="313">
        <v>43173</v>
      </c>
      <c r="Z1004" s="315">
        <v>39062100</v>
      </c>
      <c r="AA1004" s="316" t="s">
        <v>2680</v>
      </c>
      <c r="AB1004" s="317">
        <v>740</v>
      </c>
      <c r="AC1004" s="313">
        <v>43175</v>
      </c>
      <c r="AD1004" s="312">
        <v>39062100</v>
      </c>
      <c r="AE1004" s="318">
        <f t="shared" si="113"/>
        <v>0</v>
      </c>
      <c r="AF1004" s="317"/>
      <c r="AG1004" s="313"/>
      <c r="AH1004" s="312"/>
      <c r="AI1004" s="306"/>
      <c r="AJ1004" s="306"/>
      <c r="AK1004" s="318">
        <f t="shared" si="117"/>
        <v>39062100</v>
      </c>
      <c r="AL1004" s="312">
        <v>0</v>
      </c>
      <c r="AM1004" s="312">
        <f t="shared" si="115"/>
        <v>0</v>
      </c>
      <c r="AN1004" s="306" t="s">
        <v>1863</v>
      </c>
      <c r="AO1004" s="312">
        <f t="shared" si="116"/>
        <v>39062100</v>
      </c>
      <c r="AP1004" s="306"/>
      <c r="AQ1004" s="313">
        <v>43172</v>
      </c>
      <c r="AR1004" s="306" t="s">
        <v>2760</v>
      </c>
      <c r="AS1004" s="313">
        <v>43173</v>
      </c>
      <c r="AT1004" s="306" t="s">
        <v>2912</v>
      </c>
    </row>
    <row r="1005" spans="1:46" ht="102" x14ac:dyDescent="0.25">
      <c r="A1005" s="306">
        <v>410</v>
      </c>
      <c r="B1005" s="306" t="str">
        <f t="shared" si="114"/>
        <v>3075-410</v>
      </c>
      <c r="C1005" s="307" t="s">
        <v>1852</v>
      </c>
      <c r="D1005" s="308" t="s">
        <v>1853</v>
      </c>
      <c r="E1005" s="307" t="s">
        <v>1870</v>
      </c>
      <c r="F1005" s="307" t="s">
        <v>1871</v>
      </c>
      <c r="G1005" s="309" t="s">
        <v>1872</v>
      </c>
      <c r="H1005" s="310" t="s">
        <v>1873</v>
      </c>
      <c r="I1005" s="308" t="s">
        <v>1858</v>
      </c>
      <c r="J1005" s="308" t="s">
        <v>1859</v>
      </c>
      <c r="K1005" s="308" t="s">
        <v>63</v>
      </c>
      <c r="L1005" s="306" t="s">
        <v>1860</v>
      </c>
      <c r="M1005" s="306" t="s">
        <v>59</v>
      </c>
      <c r="N1005" s="306" t="s">
        <v>60</v>
      </c>
      <c r="O1005" s="308" t="s">
        <v>1874</v>
      </c>
      <c r="P1005" s="322" t="s">
        <v>2830</v>
      </c>
      <c r="Q1005" s="311">
        <v>119476956</v>
      </c>
      <c r="R1005" s="306">
        <v>1</v>
      </c>
      <c r="S1005" s="312">
        <f>119476956+33401186</f>
        <v>152878142</v>
      </c>
      <c r="T1005" s="306"/>
      <c r="U1005" s="306" t="s">
        <v>1876</v>
      </c>
      <c r="V1005" s="313" t="s">
        <v>1015</v>
      </c>
      <c r="W1005" s="314" t="s">
        <v>63</v>
      </c>
      <c r="X1005" s="334" t="s">
        <v>2914</v>
      </c>
      <c r="Y1005" s="313">
        <v>43215</v>
      </c>
      <c r="Z1005" s="315">
        <v>152878142</v>
      </c>
      <c r="AA1005" s="316" t="s">
        <v>2915</v>
      </c>
      <c r="AB1005" s="317">
        <v>805</v>
      </c>
      <c r="AC1005" s="313">
        <v>43216</v>
      </c>
      <c r="AD1005" s="312">
        <v>152878142</v>
      </c>
      <c r="AE1005" s="318">
        <f t="shared" si="113"/>
        <v>0</v>
      </c>
      <c r="AF1005" s="317"/>
      <c r="AG1005" s="313"/>
      <c r="AH1005" s="312"/>
      <c r="AI1005" s="306"/>
      <c r="AJ1005" s="306"/>
      <c r="AK1005" s="318">
        <f t="shared" si="117"/>
        <v>152878142</v>
      </c>
      <c r="AL1005" s="312">
        <v>0</v>
      </c>
      <c r="AM1005" s="312">
        <f t="shared" si="115"/>
        <v>0</v>
      </c>
      <c r="AN1005" s="306" t="s">
        <v>1863</v>
      </c>
      <c r="AO1005" s="312">
        <f t="shared" si="116"/>
        <v>152878142</v>
      </c>
      <c r="AP1005" s="306" t="s">
        <v>2916</v>
      </c>
      <c r="AQ1005" s="313">
        <v>43215</v>
      </c>
      <c r="AR1005" s="306" t="s">
        <v>1878</v>
      </c>
      <c r="AS1005" s="313">
        <v>43215</v>
      </c>
      <c r="AT1005" s="306" t="s">
        <v>2830</v>
      </c>
    </row>
    <row r="1006" spans="1:46" ht="102" x14ac:dyDescent="0.25">
      <c r="A1006" s="306">
        <v>411</v>
      </c>
      <c r="B1006" s="306" t="str">
        <f t="shared" si="114"/>
        <v>3075-411</v>
      </c>
      <c r="C1006" s="307" t="s">
        <v>1852</v>
      </c>
      <c r="D1006" s="308" t="s">
        <v>1853</v>
      </c>
      <c r="E1006" s="308" t="s">
        <v>1879</v>
      </c>
      <c r="F1006" s="307" t="s">
        <v>1880</v>
      </c>
      <c r="G1006" s="309" t="s">
        <v>1881</v>
      </c>
      <c r="H1006" s="310" t="s">
        <v>1882</v>
      </c>
      <c r="I1006" s="308" t="s">
        <v>1858</v>
      </c>
      <c r="J1006" s="308" t="s">
        <v>1859</v>
      </c>
      <c r="K1006" s="308" t="s">
        <v>63</v>
      </c>
      <c r="L1006" s="306" t="s">
        <v>1860</v>
      </c>
      <c r="M1006" s="306" t="s">
        <v>59</v>
      </c>
      <c r="N1006" s="306" t="s">
        <v>60</v>
      </c>
      <c r="O1006" s="308" t="s">
        <v>1874</v>
      </c>
      <c r="P1006" s="322" t="s">
        <v>2830</v>
      </c>
      <c r="Q1006" s="311">
        <v>37295000</v>
      </c>
      <c r="R1006" s="306">
        <v>1</v>
      </c>
      <c r="S1006" s="312">
        <f>37295000-29475000</f>
        <v>7820000</v>
      </c>
      <c r="T1006" s="306"/>
      <c r="U1006" s="306" t="s">
        <v>1876</v>
      </c>
      <c r="V1006" s="313" t="s">
        <v>1015</v>
      </c>
      <c r="W1006" s="314" t="s">
        <v>63</v>
      </c>
      <c r="X1006" s="334" t="s">
        <v>2917</v>
      </c>
      <c r="Y1006" s="313">
        <v>43215</v>
      </c>
      <c r="Z1006" s="315">
        <v>7820000</v>
      </c>
      <c r="AA1006" s="316" t="s">
        <v>2446</v>
      </c>
      <c r="AB1006" s="317">
        <v>806</v>
      </c>
      <c r="AC1006" s="313">
        <v>43216</v>
      </c>
      <c r="AD1006" s="312">
        <v>7820000</v>
      </c>
      <c r="AE1006" s="318">
        <f t="shared" si="113"/>
        <v>0</v>
      </c>
      <c r="AF1006" s="317"/>
      <c r="AG1006" s="313"/>
      <c r="AH1006" s="312"/>
      <c r="AI1006" s="306"/>
      <c r="AJ1006" s="306"/>
      <c r="AK1006" s="318">
        <f t="shared" si="117"/>
        <v>7820000</v>
      </c>
      <c r="AL1006" s="312">
        <v>0</v>
      </c>
      <c r="AM1006" s="312">
        <f t="shared" si="115"/>
        <v>0</v>
      </c>
      <c r="AN1006" s="306" t="s">
        <v>1863</v>
      </c>
      <c r="AO1006" s="312">
        <f t="shared" si="116"/>
        <v>7820000</v>
      </c>
      <c r="AP1006" s="306" t="s">
        <v>2918</v>
      </c>
      <c r="AQ1006" s="313">
        <v>43215</v>
      </c>
      <c r="AR1006" s="306" t="s">
        <v>1878</v>
      </c>
      <c r="AS1006" s="313">
        <v>43215</v>
      </c>
      <c r="AT1006" s="306" t="s">
        <v>2830</v>
      </c>
    </row>
    <row r="1007" spans="1:46" ht="140.25" x14ac:dyDescent="0.25">
      <c r="A1007" s="306">
        <v>412</v>
      </c>
      <c r="B1007" s="306" t="str">
        <f t="shared" si="114"/>
        <v>3075-412</v>
      </c>
      <c r="C1007" s="308" t="s">
        <v>1852</v>
      </c>
      <c r="D1007" s="308" t="s">
        <v>1853</v>
      </c>
      <c r="E1007" s="308" t="s">
        <v>1854</v>
      </c>
      <c r="F1007" s="308" t="s">
        <v>1871</v>
      </c>
      <c r="G1007" s="319" t="s">
        <v>1856</v>
      </c>
      <c r="H1007" s="325" t="s">
        <v>2709</v>
      </c>
      <c r="I1007" s="308" t="s">
        <v>1858</v>
      </c>
      <c r="J1007" s="308" t="s">
        <v>1859</v>
      </c>
      <c r="K1007" s="326" t="s">
        <v>63</v>
      </c>
      <c r="L1007" s="306" t="s">
        <v>1860</v>
      </c>
      <c r="M1007" s="306" t="s">
        <v>59</v>
      </c>
      <c r="N1007" s="306" t="s">
        <v>60</v>
      </c>
      <c r="O1007" s="308" t="s">
        <v>1899</v>
      </c>
      <c r="P1007" s="308" t="s">
        <v>2919</v>
      </c>
      <c r="Q1007" s="315">
        <v>122953</v>
      </c>
      <c r="R1007" s="306">
        <v>1</v>
      </c>
      <c r="S1007" s="312">
        <v>122953</v>
      </c>
      <c r="T1007" s="306"/>
      <c r="U1007" s="306" t="s">
        <v>1876</v>
      </c>
      <c r="V1007" s="313" t="s">
        <v>302</v>
      </c>
      <c r="W1007" s="314" t="s">
        <v>63</v>
      </c>
      <c r="X1007" s="306" t="s">
        <v>2920</v>
      </c>
      <c r="Y1007" s="321">
        <v>43174</v>
      </c>
      <c r="Z1007" s="315">
        <v>122953</v>
      </c>
      <c r="AA1007" s="316" t="s">
        <v>2921</v>
      </c>
      <c r="AB1007" s="317">
        <v>718</v>
      </c>
      <c r="AC1007" s="313">
        <v>43174</v>
      </c>
      <c r="AD1007" s="312">
        <v>122953</v>
      </c>
      <c r="AE1007" s="318">
        <f t="shared" si="113"/>
        <v>0</v>
      </c>
      <c r="AF1007" s="317">
        <v>1778</v>
      </c>
      <c r="AG1007" s="313">
        <v>43202</v>
      </c>
      <c r="AH1007" s="312">
        <v>122953</v>
      </c>
      <c r="AI1007" s="306" t="s">
        <v>2713</v>
      </c>
      <c r="AJ1007" s="306">
        <v>1758</v>
      </c>
      <c r="AK1007" s="318">
        <f t="shared" si="117"/>
        <v>0</v>
      </c>
      <c r="AL1007" s="312">
        <f>VLOOKUP(AB1007,RP,13,FALSE)</f>
        <v>0</v>
      </c>
      <c r="AM1007" s="312">
        <f t="shared" si="115"/>
        <v>122953</v>
      </c>
      <c r="AN1007" s="306" t="s">
        <v>1863</v>
      </c>
      <c r="AO1007" s="312">
        <f t="shared" si="116"/>
        <v>0</v>
      </c>
      <c r="AP1007" s="306"/>
      <c r="AQ1007" s="313">
        <v>43173</v>
      </c>
      <c r="AR1007" s="306" t="s">
        <v>2760</v>
      </c>
      <c r="AS1007" s="313">
        <v>43174</v>
      </c>
      <c r="AT1007" s="306" t="s">
        <v>2922</v>
      </c>
    </row>
    <row r="1008" spans="1:46" ht="76.5" x14ac:dyDescent="0.25">
      <c r="A1008" s="306">
        <v>413</v>
      </c>
      <c r="B1008" s="306" t="str">
        <f t="shared" si="114"/>
        <v>3075-413</v>
      </c>
      <c r="C1008" s="307" t="s">
        <v>1852</v>
      </c>
      <c r="D1008" s="308" t="s">
        <v>1853</v>
      </c>
      <c r="E1008" s="308" t="s">
        <v>2119</v>
      </c>
      <c r="F1008" s="307" t="s">
        <v>1880</v>
      </c>
      <c r="G1008" s="327" t="s">
        <v>1881</v>
      </c>
      <c r="H1008" s="310" t="s">
        <v>2120</v>
      </c>
      <c r="I1008" s="308" t="s">
        <v>1858</v>
      </c>
      <c r="J1008" s="308" t="s">
        <v>1859</v>
      </c>
      <c r="K1008" s="308" t="s">
        <v>63</v>
      </c>
      <c r="L1008" s="306" t="s">
        <v>1860</v>
      </c>
      <c r="M1008" s="306" t="s">
        <v>59</v>
      </c>
      <c r="N1008" s="306" t="s">
        <v>60</v>
      </c>
      <c r="O1008" s="308" t="s">
        <v>1910</v>
      </c>
      <c r="P1008" s="306" t="s">
        <v>2923</v>
      </c>
      <c r="Q1008" s="315">
        <v>54686940</v>
      </c>
      <c r="R1008" s="333">
        <v>1</v>
      </c>
      <c r="S1008" s="312">
        <v>54686940</v>
      </c>
      <c r="T1008" s="306"/>
      <c r="U1008" s="306" t="s">
        <v>1876</v>
      </c>
      <c r="V1008" s="313" t="s">
        <v>302</v>
      </c>
      <c r="W1008" s="314" t="s">
        <v>63</v>
      </c>
      <c r="X1008" s="334" t="s">
        <v>2924</v>
      </c>
      <c r="Y1008" s="313">
        <v>43175</v>
      </c>
      <c r="Z1008" s="315">
        <v>54686940</v>
      </c>
      <c r="AA1008" s="316" t="s">
        <v>2402</v>
      </c>
      <c r="AB1008" s="317">
        <v>750</v>
      </c>
      <c r="AC1008" s="313">
        <v>43179</v>
      </c>
      <c r="AD1008" s="312">
        <v>54686940</v>
      </c>
      <c r="AE1008" s="318">
        <f t="shared" si="113"/>
        <v>0</v>
      </c>
      <c r="AF1008" s="317">
        <v>1816</v>
      </c>
      <c r="AG1008" s="313">
        <v>43209</v>
      </c>
      <c r="AH1008" s="312">
        <v>54686940</v>
      </c>
      <c r="AI1008" s="306" t="s">
        <v>2925</v>
      </c>
      <c r="AJ1008" s="306">
        <v>1870</v>
      </c>
      <c r="AK1008" s="318">
        <f t="shared" si="117"/>
        <v>0</v>
      </c>
      <c r="AL1008" s="312">
        <f>VLOOKUP(AB1008,RP,13,FALSE)</f>
        <v>0</v>
      </c>
      <c r="AM1008" s="312">
        <f t="shared" si="115"/>
        <v>54686940</v>
      </c>
      <c r="AN1008" s="306" t="s">
        <v>1863</v>
      </c>
      <c r="AO1008" s="312">
        <f t="shared" si="116"/>
        <v>0</v>
      </c>
      <c r="AP1008" s="306"/>
      <c r="AQ1008" s="306" t="s">
        <v>2926</v>
      </c>
      <c r="AR1008" s="306" t="s">
        <v>2760</v>
      </c>
      <c r="AS1008" s="313">
        <v>43175</v>
      </c>
      <c r="AT1008" s="306"/>
    </row>
    <row r="1009" spans="1:46" ht="76.5" x14ac:dyDescent="0.25">
      <c r="A1009" s="306">
        <v>414</v>
      </c>
      <c r="B1009" s="306" t="str">
        <f t="shared" si="114"/>
        <v>3075-414</v>
      </c>
      <c r="C1009" s="307" t="s">
        <v>1852</v>
      </c>
      <c r="D1009" s="308" t="s">
        <v>1853</v>
      </c>
      <c r="E1009" s="308" t="s">
        <v>2119</v>
      </c>
      <c r="F1009" s="307" t="s">
        <v>1880</v>
      </c>
      <c r="G1009" s="327" t="s">
        <v>1881</v>
      </c>
      <c r="H1009" s="310" t="s">
        <v>2120</v>
      </c>
      <c r="I1009" s="308" t="s">
        <v>1858</v>
      </c>
      <c r="J1009" s="308" t="s">
        <v>1859</v>
      </c>
      <c r="K1009" s="308" t="s">
        <v>63</v>
      </c>
      <c r="L1009" s="306" t="s">
        <v>1860</v>
      </c>
      <c r="M1009" s="306" t="s">
        <v>59</v>
      </c>
      <c r="N1009" s="306" t="s">
        <v>60</v>
      </c>
      <c r="O1009" s="308" t="s">
        <v>1910</v>
      </c>
      <c r="P1009" s="306" t="s">
        <v>2927</v>
      </c>
      <c r="Q1009" s="315">
        <v>54686940</v>
      </c>
      <c r="R1009" s="333">
        <v>1</v>
      </c>
      <c r="S1009" s="312">
        <v>54686940</v>
      </c>
      <c r="T1009" s="306"/>
      <c r="U1009" s="306" t="s">
        <v>1876</v>
      </c>
      <c r="V1009" s="313" t="s">
        <v>302</v>
      </c>
      <c r="W1009" s="314" t="s">
        <v>63</v>
      </c>
      <c r="X1009" s="306" t="s">
        <v>2928</v>
      </c>
      <c r="Y1009" s="313">
        <v>43175</v>
      </c>
      <c r="Z1009" s="315">
        <v>54686940</v>
      </c>
      <c r="AA1009" s="316" t="s">
        <v>2402</v>
      </c>
      <c r="AB1009" s="317">
        <v>751</v>
      </c>
      <c r="AC1009" s="313">
        <v>43179</v>
      </c>
      <c r="AD1009" s="312">
        <v>54686940</v>
      </c>
      <c r="AE1009" s="318">
        <f t="shared" si="113"/>
        <v>0</v>
      </c>
      <c r="AF1009" s="317">
        <v>1826</v>
      </c>
      <c r="AG1009" s="313">
        <v>43210</v>
      </c>
      <c r="AH1009" s="312">
        <v>54686940</v>
      </c>
      <c r="AI1009" s="306" t="s">
        <v>2929</v>
      </c>
      <c r="AJ1009" s="306">
        <v>1876</v>
      </c>
      <c r="AK1009" s="318">
        <f t="shared" si="117"/>
        <v>0</v>
      </c>
      <c r="AL1009" s="312">
        <f>VLOOKUP(AB1009,RP,13,FALSE)</f>
        <v>0</v>
      </c>
      <c r="AM1009" s="312">
        <f t="shared" si="115"/>
        <v>54686940</v>
      </c>
      <c r="AN1009" s="306" t="s">
        <v>1863</v>
      </c>
      <c r="AO1009" s="312">
        <f t="shared" si="116"/>
        <v>0</v>
      </c>
      <c r="AP1009" s="306"/>
      <c r="AQ1009" s="306" t="s">
        <v>2926</v>
      </c>
      <c r="AR1009" s="306" t="s">
        <v>2760</v>
      </c>
      <c r="AS1009" s="313">
        <v>43175</v>
      </c>
      <c r="AT1009" s="306"/>
    </row>
    <row r="1010" spans="1:46" ht="76.5" x14ac:dyDescent="0.25">
      <c r="A1010" s="306">
        <v>415</v>
      </c>
      <c r="B1010" s="306" t="str">
        <f t="shared" si="114"/>
        <v>3075-415</v>
      </c>
      <c r="C1010" s="307" t="s">
        <v>1852</v>
      </c>
      <c r="D1010" s="308" t="s">
        <v>1853</v>
      </c>
      <c r="E1010" s="308" t="s">
        <v>2119</v>
      </c>
      <c r="F1010" s="307" t="s">
        <v>1880</v>
      </c>
      <c r="G1010" s="327" t="s">
        <v>1881</v>
      </c>
      <c r="H1010" s="310" t="s">
        <v>2120</v>
      </c>
      <c r="I1010" s="308" t="s">
        <v>1858</v>
      </c>
      <c r="J1010" s="308" t="s">
        <v>1859</v>
      </c>
      <c r="K1010" s="308" t="s">
        <v>63</v>
      </c>
      <c r="L1010" s="306" t="s">
        <v>1860</v>
      </c>
      <c r="M1010" s="306" t="s">
        <v>59</v>
      </c>
      <c r="N1010" s="306" t="s">
        <v>60</v>
      </c>
      <c r="O1010" s="308" t="s">
        <v>1910</v>
      </c>
      <c r="P1010" s="306" t="s">
        <v>2930</v>
      </c>
      <c r="Q1010" s="315">
        <v>54686940</v>
      </c>
      <c r="R1010" s="333">
        <v>1</v>
      </c>
      <c r="S1010" s="312">
        <v>54686940</v>
      </c>
      <c r="T1010" s="306"/>
      <c r="U1010" s="306" t="s">
        <v>1876</v>
      </c>
      <c r="V1010" s="313" t="s">
        <v>302</v>
      </c>
      <c r="W1010" s="314" t="s">
        <v>63</v>
      </c>
      <c r="X1010" s="334" t="s">
        <v>2931</v>
      </c>
      <c r="Y1010" s="313">
        <v>43175</v>
      </c>
      <c r="Z1010" s="315">
        <v>54686940</v>
      </c>
      <c r="AA1010" s="316" t="s">
        <v>2402</v>
      </c>
      <c r="AB1010" s="317">
        <v>752</v>
      </c>
      <c r="AC1010" s="313">
        <v>43179</v>
      </c>
      <c r="AD1010" s="312">
        <v>54686940</v>
      </c>
      <c r="AE1010" s="318">
        <f t="shared" si="113"/>
        <v>0</v>
      </c>
      <c r="AF1010" s="317">
        <v>1767</v>
      </c>
      <c r="AG1010" s="313">
        <v>43201</v>
      </c>
      <c r="AH1010" s="312">
        <v>54686940</v>
      </c>
      <c r="AI1010" s="306" t="s">
        <v>2932</v>
      </c>
      <c r="AJ1010" s="306">
        <v>1775</v>
      </c>
      <c r="AK1010" s="318">
        <f t="shared" si="117"/>
        <v>0</v>
      </c>
      <c r="AL1010" s="312">
        <f>VLOOKUP(AB1010,RP,13,FALSE)</f>
        <v>0</v>
      </c>
      <c r="AM1010" s="312">
        <f t="shared" si="115"/>
        <v>54686940</v>
      </c>
      <c r="AN1010" s="306" t="s">
        <v>1863</v>
      </c>
      <c r="AO1010" s="312">
        <f t="shared" si="116"/>
        <v>0</v>
      </c>
      <c r="AP1010" s="306"/>
      <c r="AQ1010" s="306" t="s">
        <v>2926</v>
      </c>
      <c r="AR1010" s="306" t="s">
        <v>2760</v>
      </c>
      <c r="AS1010" s="313">
        <v>43175</v>
      </c>
      <c r="AT1010" s="306"/>
    </row>
    <row r="1011" spans="1:46" ht="76.5" x14ac:dyDescent="0.25">
      <c r="A1011" s="306">
        <v>416</v>
      </c>
      <c r="B1011" s="306" t="str">
        <f t="shared" si="114"/>
        <v>3075-416</v>
      </c>
      <c r="C1011" s="307" t="s">
        <v>1852</v>
      </c>
      <c r="D1011" s="308" t="s">
        <v>1853</v>
      </c>
      <c r="E1011" s="308" t="s">
        <v>2119</v>
      </c>
      <c r="F1011" s="307" t="s">
        <v>1880</v>
      </c>
      <c r="G1011" s="327" t="s">
        <v>1881</v>
      </c>
      <c r="H1011" s="310" t="s">
        <v>2120</v>
      </c>
      <c r="I1011" s="308" t="s">
        <v>1858</v>
      </c>
      <c r="J1011" s="308" t="s">
        <v>1859</v>
      </c>
      <c r="K1011" s="308" t="s">
        <v>63</v>
      </c>
      <c r="L1011" s="306" t="s">
        <v>1860</v>
      </c>
      <c r="M1011" s="306" t="s">
        <v>59</v>
      </c>
      <c r="N1011" s="306" t="s">
        <v>60</v>
      </c>
      <c r="O1011" s="308" t="s">
        <v>1910</v>
      </c>
      <c r="P1011" s="306" t="s">
        <v>2933</v>
      </c>
      <c r="Q1011" s="315">
        <v>54686940</v>
      </c>
      <c r="R1011" s="333">
        <v>1</v>
      </c>
      <c r="S1011" s="312">
        <v>54686940</v>
      </c>
      <c r="T1011" s="306"/>
      <c r="U1011" s="306" t="s">
        <v>1876</v>
      </c>
      <c r="V1011" s="313" t="s">
        <v>302</v>
      </c>
      <c r="W1011" s="314" t="s">
        <v>63</v>
      </c>
      <c r="X1011" s="306" t="s">
        <v>2934</v>
      </c>
      <c r="Y1011" s="313">
        <v>43180</v>
      </c>
      <c r="Z1011" s="315">
        <v>54686940</v>
      </c>
      <c r="AA1011" s="316" t="s">
        <v>2402</v>
      </c>
      <c r="AB1011" s="317">
        <v>756</v>
      </c>
      <c r="AC1011" s="313">
        <v>43182</v>
      </c>
      <c r="AD1011" s="312">
        <v>54686940</v>
      </c>
      <c r="AE1011" s="318">
        <f t="shared" si="113"/>
        <v>0</v>
      </c>
      <c r="AF1011" s="317">
        <v>1780</v>
      </c>
      <c r="AG1011" s="313">
        <v>43202</v>
      </c>
      <c r="AH1011" s="312">
        <v>54686940</v>
      </c>
      <c r="AI1011" s="306" t="s">
        <v>2935</v>
      </c>
      <c r="AJ1011" s="306">
        <v>1844</v>
      </c>
      <c r="AK1011" s="318">
        <f t="shared" si="117"/>
        <v>0</v>
      </c>
      <c r="AL1011" s="312">
        <f>VLOOKUP(AB1011,RP,13,FALSE)</f>
        <v>0</v>
      </c>
      <c r="AM1011" s="312">
        <f t="shared" si="115"/>
        <v>54686940</v>
      </c>
      <c r="AN1011" s="306" t="s">
        <v>1863</v>
      </c>
      <c r="AO1011" s="312">
        <f t="shared" si="116"/>
        <v>0</v>
      </c>
      <c r="AP1011" s="306"/>
      <c r="AQ1011" s="313">
        <v>43180</v>
      </c>
      <c r="AR1011" s="306" t="s">
        <v>2760</v>
      </c>
      <c r="AS1011" s="313">
        <v>43180</v>
      </c>
      <c r="AT1011" s="306"/>
    </row>
    <row r="1012" spans="1:46" ht="89.25" x14ac:dyDescent="0.25">
      <c r="A1012" s="306">
        <v>417</v>
      </c>
      <c r="B1012" s="306" t="str">
        <f t="shared" si="114"/>
        <v>3075-417</v>
      </c>
      <c r="C1012" s="307" t="s">
        <v>1852</v>
      </c>
      <c r="D1012" s="308" t="s">
        <v>1853</v>
      </c>
      <c r="E1012" s="308" t="s">
        <v>2119</v>
      </c>
      <c r="F1012" s="307" t="s">
        <v>1880</v>
      </c>
      <c r="G1012" s="327" t="s">
        <v>1881</v>
      </c>
      <c r="H1012" s="310" t="s">
        <v>2120</v>
      </c>
      <c r="I1012" s="308" t="s">
        <v>1858</v>
      </c>
      <c r="J1012" s="308" t="s">
        <v>1859</v>
      </c>
      <c r="K1012" s="308" t="s">
        <v>63</v>
      </c>
      <c r="L1012" s="306" t="s">
        <v>1860</v>
      </c>
      <c r="M1012" s="306" t="s">
        <v>59</v>
      </c>
      <c r="N1012" s="306" t="s">
        <v>60</v>
      </c>
      <c r="O1012" s="308" t="s">
        <v>1910</v>
      </c>
      <c r="P1012" s="306" t="s">
        <v>2121</v>
      </c>
      <c r="Q1012" s="315">
        <v>54686940</v>
      </c>
      <c r="R1012" s="333">
        <v>1</v>
      </c>
      <c r="S1012" s="312">
        <v>54686940</v>
      </c>
      <c r="T1012" s="352"/>
      <c r="U1012" s="306" t="s">
        <v>1876</v>
      </c>
      <c r="V1012" s="320" t="s">
        <v>302</v>
      </c>
      <c r="W1012" s="314" t="s">
        <v>63</v>
      </c>
      <c r="X1012" s="334" t="s">
        <v>2936</v>
      </c>
      <c r="Y1012" s="353">
        <v>43186</v>
      </c>
      <c r="Z1012" s="354">
        <v>54686940</v>
      </c>
      <c r="AA1012" s="316" t="s">
        <v>2402</v>
      </c>
      <c r="AB1012" s="317">
        <v>762</v>
      </c>
      <c r="AC1012" s="313">
        <v>43192</v>
      </c>
      <c r="AD1012" s="312">
        <v>54686940</v>
      </c>
      <c r="AE1012" s="318">
        <f t="shared" si="113"/>
        <v>0</v>
      </c>
      <c r="AF1012" s="317"/>
      <c r="AG1012" s="355"/>
      <c r="AH1012" s="356"/>
      <c r="AI1012" s="352"/>
      <c r="AJ1012" s="352"/>
      <c r="AK1012" s="318">
        <f>AD1012-AH1012</f>
        <v>54686940</v>
      </c>
      <c r="AL1012" s="356"/>
      <c r="AM1012" s="356"/>
      <c r="AN1012" s="306" t="s">
        <v>1863</v>
      </c>
      <c r="AO1012" s="312">
        <f t="shared" si="116"/>
        <v>54686940</v>
      </c>
      <c r="AP1012" s="352"/>
      <c r="AQ1012" s="352"/>
      <c r="AR1012" s="352"/>
      <c r="AS1012" s="352"/>
      <c r="AT1012" s="352"/>
    </row>
    <row r="1013" spans="1:46" ht="89.25" x14ac:dyDescent="0.25">
      <c r="A1013" s="306">
        <v>418</v>
      </c>
      <c r="B1013" s="306" t="str">
        <f t="shared" si="114"/>
        <v>3075-418</v>
      </c>
      <c r="C1013" s="307" t="s">
        <v>1852</v>
      </c>
      <c r="D1013" s="308" t="s">
        <v>1853</v>
      </c>
      <c r="E1013" s="308" t="s">
        <v>2119</v>
      </c>
      <c r="F1013" s="307" t="s">
        <v>1880</v>
      </c>
      <c r="G1013" s="327" t="s">
        <v>1881</v>
      </c>
      <c r="H1013" s="310" t="s">
        <v>2120</v>
      </c>
      <c r="I1013" s="308" t="s">
        <v>1858</v>
      </c>
      <c r="J1013" s="308" t="s">
        <v>1859</v>
      </c>
      <c r="K1013" s="308" t="s">
        <v>63</v>
      </c>
      <c r="L1013" s="306" t="s">
        <v>1860</v>
      </c>
      <c r="M1013" s="306" t="s">
        <v>59</v>
      </c>
      <c r="N1013" s="306" t="s">
        <v>60</v>
      </c>
      <c r="O1013" s="308" t="s">
        <v>1910</v>
      </c>
      <c r="P1013" s="306" t="s">
        <v>2121</v>
      </c>
      <c r="Q1013" s="315">
        <v>54686940</v>
      </c>
      <c r="R1013" s="333">
        <v>1</v>
      </c>
      <c r="S1013" s="312">
        <v>54686940</v>
      </c>
      <c r="T1013" s="352"/>
      <c r="U1013" s="306" t="s">
        <v>1876</v>
      </c>
      <c r="V1013" s="320" t="s">
        <v>302</v>
      </c>
      <c r="W1013" s="314" t="s">
        <v>63</v>
      </c>
      <c r="X1013" s="306" t="s">
        <v>2937</v>
      </c>
      <c r="Y1013" s="353">
        <v>43186</v>
      </c>
      <c r="Z1013" s="354">
        <v>54686940</v>
      </c>
      <c r="AA1013" s="316" t="s">
        <v>2402</v>
      </c>
      <c r="AB1013" s="317">
        <v>763</v>
      </c>
      <c r="AC1013" s="313">
        <v>43192</v>
      </c>
      <c r="AD1013" s="312">
        <v>54686940</v>
      </c>
      <c r="AE1013" s="352"/>
      <c r="AF1013" s="317"/>
      <c r="AG1013" s="355"/>
      <c r="AH1013" s="356"/>
      <c r="AI1013" s="352"/>
      <c r="AJ1013" s="352"/>
      <c r="AK1013" s="318">
        <f t="shared" ref="AK1013:AK1041" si="119">AD1013-AH1013</f>
        <v>54686940</v>
      </c>
      <c r="AL1013" s="356"/>
      <c r="AM1013" s="356"/>
      <c r="AN1013" s="306" t="s">
        <v>1863</v>
      </c>
      <c r="AO1013" s="312">
        <f t="shared" si="116"/>
        <v>54686940</v>
      </c>
      <c r="AP1013" s="352"/>
      <c r="AQ1013" s="352"/>
      <c r="AR1013" s="352"/>
      <c r="AS1013" s="352"/>
      <c r="AT1013" s="352"/>
    </row>
    <row r="1014" spans="1:46" ht="76.5" x14ac:dyDescent="0.25">
      <c r="A1014" s="306">
        <v>419</v>
      </c>
      <c r="B1014" s="306" t="str">
        <f t="shared" si="114"/>
        <v>3075-419</v>
      </c>
      <c r="C1014" s="307" t="s">
        <v>1852</v>
      </c>
      <c r="D1014" s="308" t="s">
        <v>1853</v>
      </c>
      <c r="E1014" s="308" t="s">
        <v>2119</v>
      </c>
      <c r="F1014" s="307" t="s">
        <v>1880</v>
      </c>
      <c r="G1014" s="327" t="s">
        <v>1881</v>
      </c>
      <c r="H1014" s="310" t="s">
        <v>2120</v>
      </c>
      <c r="I1014" s="308" t="s">
        <v>1858</v>
      </c>
      <c r="J1014" s="308" t="s">
        <v>1859</v>
      </c>
      <c r="K1014" s="308" t="s">
        <v>63</v>
      </c>
      <c r="L1014" s="306" t="s">
        <v>1860</v>
      </c>
      <c r="M1014" s="306" t="s">
        <v>59</v>
      </c>
      <c r="N1014" s="306" t="s">
        <v>60</v>
      </c>
      <c r="O1014" s="308" t="s">
        <v>1910</v>
      </c>
      <c r="P1014" s="306" t="s">
        <v>2938</v>
      </c>
      <c r="Q1014" s="315">
        <v>57510750</v>
      </c>
      <c r="R1014" s="333">
        <v>0.95089944053937747</v>
      </c>
      <c r="S1014" s="312">
        <v>54686940</v>
      </c>
      <c r="T1014" s="306"/>
      <c r="U1014" s="306" t="s">
        <v>1876</v>
      </c>
      <c r="V1014" s="313" t="s">
        <v>302</v>
      </c>
      <c r="W1014" s="314" t="s">
        <v>63</v>
      </c>
      <c r="X1014" s="306" t="s">
        <v>2939</v>
      </c>
      <c r="Y1014" s="313">
        <v>43192</v>
      </c>
      <c r="Z1014" s="357">
        <v>54686940</v>
      </c>
      <c r="AA1014" s="316" t="s">
        <v>2402</v>
      </c>
      <c r="AB1014" s="317">
        <v>766</v>
      </c>
      <c r="AC1014" s="313">
        <v>43195</v>
      </c>
      <c r="AD1014" s="312">
        <v>54686940</v>
      </c>
      <c r="AE1014" s="318">
        <f t="shared" ref="AE1014:AE1041" si="120">S1014-Z1014</f>
        <v>0</v>
      </c>
      <c r="AF1014" s="317">
        <v>1843</v>
      </c>
      <c r="AG1014" s="313">
        <v>43215</v>
      </c>
      <c r="AH1014" s="312">
        <v>54686940</v>
      </c>
      <c r="AI1014" s="306" t="s">
        <v>2940</v>
      </c>
      <c r="AJ1014" s="306">
        <v>1931</v>
      </c>
      <c r="AK1014" s="318">
        <f t="shared" si="119"/>
        <v>0</v>
      </c>
      <c r="AL1014" s="312">
        <f>VLOOKUP(AB1014,RP,13,FALSE)</f>
        <v>0</v>
      </c>
      <c r="AM1014" s="312">
        <f t="shared" ref="AM1014:AM1041" si="121">AH1014-AL1014</f>
        <v>54686940</v>
      </c>
      <c r="AN1014" s="306" t="s">
        <v>1863</v>
      </c>
      <c r="AO1014" s="312">
        <f t="shared" si="116"/>
        <v>0</v>
      </c>
      <c r="AP1014" s="306" t="s">
        <v>2941</v>
      </c>
      <c r="AQ1014" s="306"/>
      <c r="AR1014" s="306"/>
      <c r="AS1014" s="306"/>
      <c r="AT1014" s="306"/>
    </row>
    <row r="1015" spans="1:46" ht="76.5" x14ac:dyDescent="0.25">
      <c r="A1015" s="306">
        <v>420</v>
      </c>
      <c r="B1015" s="306" t="str">
        <f t="shared" si="114"/>
        <v>3075-420</v>
      </c>
      <c r="C1015" s="307" t="s">
        <v>1852</v>
      </c>
      <c r="D1015" s="308" t="s">
        <v>1853</v>
      </c>
      <c r="E1015" s="308" t="s">
        <v>2119</v>
      </c>
      <c r="F1015" s="307" t="s">
        <v>1880</v>
      </c>
      <c r="G1015" s="327" t="s">
        <v>1881</v>
      </c>
      <c r="H1015" s="310" t="s">
        <v>2120</v>
      </c>
      <c r="I1015" s="308" t="s">
        <v>1858</v>
      </c>
      <c r="J1015" s="308" t="s">
        <v>1859</v>
      </c>
      <c r="K1015" s="308" t="s">
        <v>63</v>
      </c>
      <c r="L1015" s="306" t="s">
        <v>1860</v>
      </c>
      <c r="M1015" s="306" t="s">
        <v>59</v>
      </c>
      <c r="N1015" s="306" t="s">
        <v>60</v>
      </c>
      <c r="O1015" s="308" t="s">
        <v>1910</v>
      </c>
      <c r="P1015" s="306" t="s">
        <v>2942</v>
      </c>
      <c r="Q1015" s="315">
        <v>57510750</v>
      </c>
      <c r="R1015" s="333">
        <v>0.95089944053937747</v>
      </c>
      <c r="S1015" s="312">
        <v>54686940</v>
      </c>
      <c r="T1015" s="306"/>
      <c r="U1015" s="306" t="s">
        <v>1876</v>
      </c>
      <c r="V1015" s="320" t="s">
        <v>302</v>
      </c>
      <c r="W1015" s="314" t="s">
        <v>63</v>
      </c>
      <c r="X1015" s="306" t="s">
        <v>2943</v>
      </c>
      <c r="Y1015" s="313">
        <v>43192</v>
      </c>
      <c r="Z1015" s="357">
        <v>54686940</v>
      </c>
      <c r="AA1015" s="316" t="s">
        <v>2402</v>
      </c>
      <c r="AB1015" s="317">
        <v>764</v>
      </c>
      <c r="AC1015" s="313">
        <v>43195</v>
      </c>
      <c r="AD1015" s="312">
        <v>54686940</v>
      </c>
      <c r="AE1015" s="318">
        <f t="shared" si="120"/>
        <v>0</v>
      </c>
      <c r="AF1015" s="317"/>
      <c r="AG1015" s="313"/>
      <c r="AH1015" s="312"/>
      <c r="AI1015" s="306"/>
      <c r="AJ1015" s="306"/>
      <c r="AK1015" s="318">
        <f t="shared" si="119"/>
        <v>54686940</v>
      </c>
      <c r="AL1015" s="312">
        <v>0</v>
      </c>
      <c r="AM1015" s="312">
        <f t="shared" si="121"/>
        <v>0</v>
      </c>
      <c r="AN1015" s="306" t="s">
        <v>1863</v>
      </c>
      <c r="AO1015" s="312">
        <f t="shared" si="116"/>
        <v>54686940</v>
      </c>
      <c r="AP1015" s="306" t="s">
        <v>2941</v>
      </c>
      <c r="AQ1015" s="306"/>
      <c r="AR1015" s="306"/>
      <c r="AS1015" s="306"/>
      <c r="AT1015" s="306"/>
    </row>
    <row r="1016" spans="1:46" ht="165.75" x14ac:dyDescent="0.25">
      <c r="A1016" s="306">
        <v>421</v>
      </c>
      <c r="B1016" s="306" t="str">
        <f t="shared" si="114"/>
        <v>3075-421</v>
      </c>
      <c r="C1016" s="307" t="s">
        <v>1852</v>
      </c>
      <c r="D1016" s="308" t="s">
        <v>1853</v>
      </c>
      <c r="E1016" s="308" t="s">
        <v>1879</v>
      </c>
      <c r="F1016" s="307" t="s">
        <v>1880</v>
      </c>
      <c r="G1016" s="309" t="s">
        <v>1881</v>
      </c>
      <c r="H1016" s="310" t="s">
        <v>1882</v>
      </c>
      <c r="I1016" s="308" t="s">
        <v>1858</v>
      </c>
      <c r="J1016" s="308" t="s">
        <v>1888</v>
      </c>
      <c r="K1016" s="308" t="s">
        <v>63</v>
      </c>
      <c r="L1016" s="306" t="s">
        <v>1860</v>
      </c>
      <c r="M1016" s="306" t="s">
        <v>59</v>
      </c>
      <c r="N1016" s="306" t="s">
        <v>60</v>
      </c>
      <c r="O1016" s="308" t="s">
        <v>1874</v>
      </c>
      <c r="P1016" s="308" t="s">
        <v>2944</v>
      </c>
      <c r="Q1016" s="311">
        <v>138036400</v>
      </c>
      <c r="R1016" s="306">
        <v>1</v>
      </c>
      <c r="S1016" s="312">
        <f t="shared" ref="S1016:S1022" si="122">Q1016*R1016</f>
        <v>138036400</v>
      </c>
      <c r="T1016" s="306"/>
      <c r="U1016" s="306" t="s">
        <v>1876</v>
      </c>
      <c r="V1016" s="320" t="s">
        <v>302</v>
      </c>
      <c r="W1016" s="314" t="s">
        <v>63</v>
      </c>
      <c r="X1016" s="306" t="s">
        <v>2945</v>
      </c>
      <c r="Y1016" s="313">
        <v>43195</v>
      </c>
      <c r="Z1016" s="315">
        <v>138036400</v>
      </c>
      <c r="AA1016" s="316" t="s">
        <v>2783</v>
      </c>
      <c r="AB1016" s="317">
        <v>768</v>
      </c>
      <c r="AC1016" s="313">
        <v>43201</v>
      </c>
      <c r="AD1016" s="312">
        <v>138036400</v>
      </c>
      <c r="AE1016" s="318">
        <f t="shared" si="120"/>
        <v>0</v>
      </c>
      <c r="AF1016" s="317"/>
      <c r="AG1016" s="313"/>
      <c r="AH1016" s="312"/>
      <c r="AI1016" s="306"/>
      <c r="AJ1016" s="306"/>
      <c r="AK1016" s="318">
        <f t="shared" si="119"/>
        <v>138036400</v>
      </c>
      <c r="AL1016" s="312">
        <v>0</v>
      </c>
      <c r="AM1016" s="312">
        <f t="shared" si="121"/>
        <v>0</v>
      </c>
      <c r="AN1016" s="306" t="s">
        <v>1863</v>
      </c>
      <c r="AO1016" s="312">
        <f t="shared" si="116"/>
        <v>138036400</v>
      </c>
      <c r="AP1016" s="306"/>
      <c r="AQ1016" s="313">
        <v>43195</v>
      </c>
      <c r="AR1016" s="306" t="s">
        <v>2760</v>
      </c>
      <c r="AS1016" s="313">
        <v>43195</v>
      </c>
      <c r="AT1016" s="306" t="s">
        <v>2944</v>
      </c>
    </row>
    <row r="1017" spans="1:46" ht="153" x14ac:dyDescent="0.25">
      <c r="A1017" s="306">
        <v>422</v>
      </c>
      <c r="B1017" s="306" t="str">
        <f t="shared" si="114"/>
        <v>3075-422</v>
      </c>
      <c r="C1017" s="307" t="s">
        <v>1852</v>
      </c>
      <c r="D1017" s="308" t="s">
        <v>1853</v>
      </c>
      <c r="E1017" s="308" t="s">
        <v>1879</v>
      </c>
      <c r="F1017" s="307" t="s">
        <v>1880</v>
      </c>
      <c r="G1017" s="309" t="s">
        <v>1881</v>
      </c>
      <c r="H1017" s="310" t="s">
        <v>1882</v>
      </c>
      <c r="I1017" s="308" t="s">
        <v>1858</v>
      </c>
      <c r="J1017" s="308" t="s">
        <v>1888</v>
      </c>
      <c r="K1017" s="308" t="s">
        <v>63</v>
      </c>
      <c r="L1017" s="306" t="s">
        <v>1860</v>
      </c>
      <c r="M1017" s="306" t="s">
        <v>59</v>
      </c>
      <c r="N1017" s="306" t="s">
        <v>60</v>
      </c>
      <c r="O1017" s="308" t="s">
        <v>1874</v>
      </c>
      <c r="P1017" s="308" t="s">
        <v>2946</v>
      </c>
      <c r="Q1017" s="311">
        <v>39062100</v>
      </c>
      <c r="R1017" s="306">
        <v>1</v>
      </c>
      <c r="S1017" s="312">
        <f t="shared" si="122"/>
        <v>39062100</v>
      </c>
      <c r="T1017" s="306"/>
      <c r="U1017" s="306" t="s">
        <v>1876</v>
      </c>
      <c r="V1017" s="320" t="s">
        <v>302</v>
      </c>
      <c r="W1017" s="314" t="s">
        <v>63</v>
      </c>
      <c r="X1017" s="306" t="s">
        <v>2947</v>
      </c>
      <c r="Y1017" s="313">
        <v>43195</v>
      </c>
      <c r="Z1017" s="315">
        <v>39062100</v>
      </c>
      <c r="AA1017" s="316" t="s">
        <v>2783</v>
      </c>
      <c r="AB1017" s="317">
        <v>769</v>
      </c>
      <c r="AC1017" s="313">
        <v>43201</v>
      </c>
      <c r="AD1017" s="312">
        <v>39062100</v>
      </c>
      <c r="AE1017" s="318">
        <f t="shared" si="120"/>
        <v>0</v>
      </c>
      <c r="AF1017" s="317"/>
      <c r="AG1017" s="313"/>
      <c r="AH1017" s="312"/>
      <c r="AI1017" s="306"/>
      <c r="AJ1017" s="306"/>
      <c r="AK1017" s="318">
        <f t="shared" si="119"/>
        <v>39062100</v>
      </c>
      <c r="AL1017" s="312">
        <v>0</v>
      </c>
      <c r="AM1017" s="312">
        <f t="shared" si="121"/>
        <v>0</v>
      </c>
      <c r="AN1017" s="306" t="s">
        <v>1863</v>
      </c>
      <c r="AO1017" s="312">
        <f t="shared" si="116"/>
        <v>39062100</v>
      </c>
      <c r="AP1017" s="306"/>
      <c r="AQ1017" s="313">
        <v>43195</v>
      </c>
      <c r="AR1017" s="306" t="s">
        <v>2760</v>
      </c>
      <c r="AS1017" s="313">
        <v>43195</v>
      </c>
      <c r="AT1017" s="306" t="s">
        <v>2946</v>
      </c>
    </row>
    <row r="1018" spans="1:46" ht="102" x14ac:dyDescent="0.25">
      <c r="A1018" s="306">
        <v>423</v>
      </c>
      <c r="B1018" s="306" t="str">
        <f t="shared" si="114"/>
        <v>3075-423</v>
      </c>
      <c r="C1018" s="307" t="s">
        <v>1852</v>
      </c>
      <c r="D1018" s="308" t="s">
        <v>1853</v>
      </c>
      <c r="E1018" s="308" t="s">
        <v>1879</v>
      </c>
      <c r="F1018" s="307" t="s">
        <v>1880</v>
      </c>
      <c r="G1018" s="309" t="s">
        <v>1881</v>
      </c>
      <c r="H1018" s="310" t="s">
        <v>1882</v>
      </c>
      <c r="I1018" s="308" t="s">
        <v>1858</v>
      </c>
      <c r="J1018" s="308" t="s">
        <v>1888</v>
      </c>
      <c r="K1018" s="308" t="s">
        <v>63</v>
      </c>
      <c r="L1018" s="306" t="s">
        <v>1860</v>
      </c>
      <c r="M1018" s="306" t="s">
        <v>59</v>
      </c>
      <c r="N1018" s="306" t="s">
        <v>60</v>
      </c>
      <c r="O1018" s="308" t="s">
        <v>1874</v>
      </c>
      <c r="P1018" s="308" t="s">
        <v>2948</v>
      </c>
      <c r="Q1018" s="311">
        <v>35479385</v>
      </c>
      <c r="R1018" s="306">
        <v>1</v>
      </c>
      <c r="S1018" s="312">
        <f t="shared" si="122"/>
        <v>35479385</v>
      </c>
      <c r="T1018" s="306"/>
      <c r="U1018" s="306" t="s">
        <v>1876</v>
      </c>
      <c r="V1018" s="320" t="s">
        <v>302</v>
      </c>
      <c r="W1018" s="314" t="s">
        <v>63</v>
      </c>
      <c r="X1018" s="306" t="s">
        <v>2949</v>
      </c>
      <c r="Y1018" s="313">
        <v>43195</v>
      </c>
      <c r="Z1018" s="315">
        <v>35479385</v>
      </c>
      <c r="AA1018" s="316" t="s">
        <v>2783</v>
      </c>
      <c r="AB1018" s="317">
        <v>770</v>
      </c>
      <c r="AC1018" s="313">
        <v>43201</v>
      </c>
      <c r="AD1018" s="312">
        <v>35479385</v>
      </c>
      <c r="AE1018" s="318">
        <f t="shared" si="120"/>
        <v>0</v>
      </c>
      <c r="AF1018" s="317"/>
      <c r="AG1018" s="313"/>
      <c r="AH1018" s="312"/>
      <c r="AI1018" s="306"/>
      <c r="AJ1018" s="306"/>
      <c r="AK1018" s="318">
        <f t="shared" si="119"/>
        <v>35479385</v>
      </c>
      <c r="AL1018" s="312">
        <v>0</v>
      </c>
      <c r="AM1018" s="312">
        <f t="shared" si="121"/>
        <v>0</v>
      </c>
      <c r="AN1018" s="306" t="s">
        <v>1863</v>
      </c>
      <c r="AO1018" s="312">
        <f t="shared" si="116"/>
        <v>35479385</v>
      </c>
      <c r="AP1018" s="306"/>
      <c r="AQ1018" s="313">
        <v>43195</v>
      </c>
      <c r="AR1018" s="306" t="s">
        <v>2760</v>
      </c>
      <c r="AS1018" s="313">
        <v>43195</v>
      </c>
      <c r="AT1018" s="306" t="s">
        <v>2948</v>
      </c>
    </row>
    <row r="1019" spans="1:46" ht="140.25" x14ac:dyDescent="0.25">
      <c r="A1019" s="306">
        <v>424</v>
      </c>
      <c r="B1019" s="306" t="str">
        <f t="shared" si="114"/>
        <v>3075-424</v>
      </c>
      <c r="C1019" s="307" t="s">
        <v>1852</v>
      </c>
      <c r="D1019" s="308" t="s">
        <v>1853</v>
      </c>
      <c r="E1019" s="307" t="s">
        <v>1870</v>
      </c>
      <c r="F1019" s="307" t="s">
        <v>1871</v>
      </c>
      <c r="G1019" s="309" t="s">
        <v>1872</v>
      </c>
      <c r="H1019" s="310" t="s">
        <v>1873</v>
      </c>
      <c r="I1019" s="308" t="s">
        <v>1858</v>
      </c>
      <c r="J1019" s="308" t="s">
        <v>1859</v>
      </c>
      <c r="K1019" s="308" t="s">
        <v>63</v>
      </c>
      <c r="L1019" s="306" t="s">
        <v>1860</v>
      </c>
      <c r="M1019" s="306" t="s">
        <v>59</v>
      </c>
      <c r="N1019" s="306" t="s">
        <v>60</v>
      </c>
      <c r="O1019" s="308" t="s">
        <v>1874</v>
      </c>
      <c r="P1019" s="322" t="s">
        <v>2950</v>
      </c>
      <c r="Q1019" s="311">
        <v>65920800</v>
      </c>
      <c r="R1019" s="306">
        <v>1</v>
      </c>
      <c r="S1019" s="312">
        <f t="shared" si="122"/>
        <v>65920800</v>
      </c>
      <c r="T1019" s="306"/>
      <c r="U1019" s="306" t="s">
        <v>1876</v>
      </c>
      <c r="V1019" s="320" t="s">
        <v>302</v>
      </c>
      <c r="W1019" s="314" t="s">
        <v>63</v>
      </c>
      <c r="X1019" s="306" t="s">
        <v>2951</v>
      </c>
      <c r="Y1019" s="313">
        <v>43195</v>
      </c>
      <c r="Z1019" s="315">
        <v>65920800</v>
      </c>
      <c r="AA1019" s="316" t="s">
        <v>2952</v>
      </c>
      <c r="AB1019" s="317">
        <v>774</v>
      </c>
      <c r="AC1019" s="313">
        <v>43201</v>
      </c>
      <c r="AD1019" s="312">
        <v>65920800</v>
      </c>
      <c r="AE1019" s="318">
        <f t="shared" si="120"/>
        <v>0</v>
      </c>
      <c r="AF1019" s="317"/>
      <c r="AG1019" s="313"/>
      <c r="AH1019" s="312"/>
      <c r="AI1019" s="306"/>
      <c r="AJ1019" s="306"/>
      <c r="AK1019" s="318">
        <f t="shared" si="119"/>
        <v>65920800</v>
      </c>
      <c r="AL1019" s="312">
        <v>0</v>
      </c>
      <c r="AM1019" s="312">
        <f t="shared" si="121"/>
        <v>0</v>
      </c>
      <c r="AN1019" s="306" t="s">
        <v>1863</v>
      </c>
      <c r="AO1019" s="312">
        <f t="shared" si="116"/>
        <v>65920800</v>
      </c>
      <c r="AP1019" s="306"/>
      <c r="AQ1019" s="313">
        <v>43195</v>
      </c>
      <c r="AR1019" s="306" t="s">
        <v>2760</v>
      </c>
      <c r="AS1019" s="313">
        <v>43195</v>
      </c>
      <c r="AT1019" s="306" t="s">
        <v>2950</v>
      </c>
    </row>
    <row r="1020" spans="1:46" ht="127.5" x14ac:dyDescent="0.25">
      <c r="A1020" s="306">
        <v>425</v>
      </c>
      <c r="B1020" s="306" t="str">
        <f t="shared" si="114"/>
        <v>3075-425</v>
      </c>
      <c r="C1020" s="307" t="s">
        <v>1852</v>
      </c>
      <c r="D1020" s="308" t="s">
        <v>1853</v>
      </c>
      <c r="E1020" s="308" t="s">
        <v>1879</v>
      </c>
      <c r="F1020" s="307" t="s">
        <v>1880</v>
      </c>
      <c r="G1020" s="309" t="s">
        <v>1881</v>
      </c>
      <c r="H1020" s="310" t="s">
        <v>1882</v>
      </c>
      <c r="I1020" s="308" t="s">
        <v>1858</v>
      </c>
      <c r="J1020" s="308" t="s">
        <v>1888</v>
      </c>
      <c r="K1020" s="308" t="s">
        <v>63</v>
      </c>
      <c r="L1020" s="306" t="s">
        <v>1860</v>
      </c>
      <c r="M1020" s="306" t="s">
        <v>59</v>
      </c>
      <c r="N1020" s="306" t="s">
        <v>60</v>
      </c>
      <c r="O1020" s="308" t="s">
        <v>1874</v>
      </c>
      <c r="P1020" s="308" t="s">
        <v>2953</v>
      </c>
      <c r="Q1020" s="311">
        <v>39062100</v>
      </c>
      <c r="R1020" s="306">
        <v>1</v>
      </c>
      <c r="S1020" s="312">
        <f t="shared" si="122"/>
        <v>39062100</v>
      </c>
      <c r="T1020" s="306"/>
      <c r="U1020" s="306" t="s">
        <v>1876</v>
      </c>
      <c r="V1020" s="320" t="s">
        <v>302</v>
      </c>
      <c r="W1020" s="314" t="s">
        <v>63</v>
      </c>
      <c r="X1020" s="306" t="s">
        <v>2954</v>
      </c>
      <c r="Y1020" s="321">
        <v>43195</v>
      </c>
      <c r="Z1020" s="315">
        <v>39062100</v>
      </c>
      <c r="AA1020" s="316" t="s">
        <v>2783</v>
      </c>
      <c r="AB1020" s="317">
        <v>772</v>
      </c>
      <c r="AC1020" s="313">
        <v>43201</v>
      </c>
      <c r="AD1020" s="312">
        <v>39062100</v>
      </c>
      <c r="AE1020" s="318">
        <f t="shared" si="120"/>
        <v>0</v>
      </c>
      <c r="AF1020" s="317"/>
      <c r="AG1020" s="313"/>
      <c r="AH1020" s="312"/>
      <c r="AI1020" s="306"/>
      <c r="AJ1020" s="306"/>
      <c r="AK1020" s="318">
        <f t="shared" si="119"/>
        <v>39062100</v>
      </c>
      <c r="AL1020" s="312">
        <v>0</v>
      </c>
      <c r="AM1020" s="312">
        <f t="shared" si="121"/>
        <v>0</v>
      </c>
      <c r="AN1020" s="306" t="s">
        <v>1863</v>
      </c>
      <c r="AO1020" s="312">
        <f t="shared" si="116"/>
        <v>39062100</v>
      </c>
      <c r="AP1020" s="306"/>
      <c r="AQ1020" s="313">
        <v>43195</v>
      </c>
      <c r="AR1020" s="306" t="s">
        <v>2760</v>
      </c>
      <c r="AS1020" s="313">
        <v>43195</v>
      </c>
      <c r="AT1020" s="306" t="s">
        <v>2953</v>
      </c>
    </row>
    <row r="1021" spans="1:46" ht="89.25" x14ac:dyDescent="0.25">
      <c r="A1021" s="306">
        <v>426</v>
      </c>
      <c r="B1021" s="306" t="str">
        <f t="shared" si="114"/>
        <v>3075-426</v>
      </c>
      <c r="C1021" s="307" t="s">
        <v>1852</v>
      </c>
      <c r="D1021" s="308" t="s">
        <v>1853</v>
      </c>
      <c r="E1021" s="308" t="s">
        <v>1879</v>
      </c>
      <c r="F1021" s="307" t="s">
        <v>1880</v>
      </c>
      <c r="G1021" s="309" t="s">
        <v>1881</v>
      </c>
      <c r="H1021" s="310" t="s">
        <v>1882</v>
      </c>
      <c r="I1021" s="308" t="s">
        <v>1858</v>
      </c>
      <c r="J1021" s="308" t="s">
        <v>1888</v>
      </c>
      <c r="K1021" s="308" t="s">
        <v>63</v>
      </c>
      <c r="L1021" s="306" t="s">
        <v>1860</v>
      </c>
      <c r="M1021" s="306" t="s">
        <v>59</v>
      </c>
      <c r="N1021" s="306" t="s">
        <v>60</v>
      </c>
      <c r="O1021" s="308" t="s">
        <v>1874</v>
      </c>
      <c r="P1021" s="308" t="s">
        <v>2955</v>
      </c>
      <c r="Q1021" s="311">
        <v>39062100</v>
      </c>
      <c r="R1021" s="306">
        <v>1</v>
      </c>
      <c r="S1021" s="312">
        <f t="shared" si="122"/>
        <v>39062100</v>
      </c>
      <c r="T1021" s="306"/>
      <c r="U1021" s="306" t="s">
        <v>1876</v>
      </c>
      <c r="V1021" s="320" t="s">
        <v>302</v>
      </c>
      <c r="W1021" s="314" t="s">
        <v>63</v>
      </c>
      <c r="X1021" s="306" t="s">
        <v>2956</v>
      </c>
      <c r="Y1021" s="321">
        <v>43195</v>
      </c>
      <c r="Z1021" s="315">
        <v>39062100</v>
      </c>
      <c r="AA1021" s="316" t="s">
        <v>2783</v>
      </c>
      <c r="AB1021" s="317">
        <v>771</v>
      </c>
      <c r="AC1021" s="313">
        <v>43201</v>
      </c>
      <c r="AD1021" s="312">
        <v>39062100</v>
      </c>
      <c r="AE1021" s="318">
        <f t="shared" si="120"/>
        <v>0</v>
      </c>
      <c r="AF1021" s="317"/>
      <c r="AG1021" s="313"/>
      <c r="AH1021" s="312"/>
      <c r="AI1021" s="306"/>
      <c r="AJ1021" s="306"/>
      <c r="AK1021" s="318">
        <f t="shared" si="119"/>
        <v>39062100</v>
      </c>
      <c r="AL1021" s="312">
        <v>0</v>
      </c>
      <c r="AM1021" s="312">
        <f t="shared" si="121"/>
        <v>0</v>
      </c>
      <c r="AN1021" s="306" t="s">
        <v>1863</v>
      </c>
      <c r="AO1021" s="312">
        <f t="shared" si="116"/>
        <v>39062100</v>
      </c>
      <c r="AP1021" s="306"/>
      <c r="AQ1021" s="313">
        <v>43195</v>
      </c>
      <c r="AR1021" s="306" t="s">
        <v>2760</v>
      </c>
      <c r="AS1021" s="313">
        <v>43195</v>
      </c>
      <c r="AT1021" s="306" t="s">
        <v>2955</v>
      </c>
    </row>
    <row r="1022" spans="1:46" ht="114.75" x14ac:dyDescent="0.25">
      <c r="A1022" s="306">
        <v>427</v>
      </c>
      <c r="B1022" s="306" t="str">
        <f t="shared" si="114"/>
        <v>3075-427</v>
      </c>
      <c r="C1022" s="307" t="s">
        <v>1852</v>
      </c>
      <c r="D1022" s="308" t="s">
        <v>1853</v>
      </c>
      <c r="E1022" s="308" t="s">
        <v>1879</v>
      </c>
      <c r="F1022" s="307" t="s">
        <v>1880</v>
      </c>
      <c r="G1022" s="309" t="s">
        <v>1881</v>
      </c>
      <c r="H1022" s="310" t="s">
        <v>1882</v>
      </c>
      <c r="I1022" s="308" t="s">
        <v>1858</v>
      </c>
      <c r="J1022" s="308" t="s">
        <v>1888</v>
      </c>
      <c r="K1022" s="308" t="s">
        <v>63</v>
      </c>
      <c r="L1022" s="306" t="s">
        <v>1860</v>
      </c>
      <c r="M1022" s="306" t="s">
        <v>59</v>
      </c>
      <c r="N1022" s="306" t="s">
        <v>60</v>
      </c>
      <c r="O1022" s="308" t="s">
        <v>1874</v>
      </c>
      <c r="P1022" s="308" t="s">
        <v>2957</v>
      </c>
      <c r="Q1022" s="311">
        <v>69667715</v>
      </c>
      <c r="R1022" s="306">
        <v>1</v>
      </c>
      <c r="S1022" s="312">
        <f t="shared" si="122"/>
        <v>69667715</v>
      </c>
      <c r="T1022" s="306"/>
      <c r="U1022" s="306" t="s">
        <v>1876</v>
      </c>
      <c r="V1022" s="313" t="s">
        <v>1015</v>
      </c>
      <c r="W1022" s="314" t="s">
        <v>63</v>
      </c>
      <c r="X1022" s="306" t="s">
        <v>2958</v>
      </c>
      <c r="Y1022" s="321">
        <v>43202</v>
      </c>
      <c r="Z1022" s="315">
        <v>69667715</v>
      </c>
      <c r="AA1022" s="316" t="s">
        <v>1891</v>
      </c>
      <c r="AB1022" s="317">
        <v>782</v>
      </c>
      <c r="AC1022" s="313">
        <v>43203</v>
      </c>
      <c r="AD1022" s="312">
        <v>69667715</v>
      </c>
      <c r="AE1022" s="318">
        <f t="shared" si="120"/>
        <v>0</v>
      </c>
      <c r="AF1022" s="317"/>
      <c r="AG1022" s="313"/>
      <c r="AH1022" s="312"/>
      <c r="AI1022" s="306"/>
      <c r="AJ1022" s="306"/>
      <c r="AK1022" s="318">
        <f t="shared" si="119"/>
        <v>69667715</v>
      </c>
      <c r="AL1022" s="312">
        <v>0</v>
      </c>
      <c r="AM1022" s="312">
        <f t="shared" si="121"/>
        <v>0</v>
      </c>
      <c r="AN1022" s="306" t="s">
        <v>1863</v>
      </c>
      <c r="AO1022" s="312">
        <f t="shared" si="116"/>
        <v>69667715</v>
      </c>
      <c r="AP1022" s="306"/>
      <c r="AQ1022" s="313">
        <v>43201</v>
      </c>
      <c r="AR1022" s="306" t="s">
        <v>2760</v>
      </c>
      <c r="AS1022" s="313">
        <v>43202</v>
      </c>
      <c r="AT1022" s="306" t="s">
        <v>2957</v>
      </c>
    </row>
    <row r="1023" spans="1:46" ht="127.5" x14ac:dyDescent="0.25">
      <c r="A1023" s="306">
        <v>428</v>
      </c>
      <c r="B1023" s="306" t="str">
        <f t="shared" si="114"/>
        <v>3075-428</v>
      </c>
      <c r="C1023" s="307" t="s">
        <v>1852</v>
      </c>
      <c r="D1023" s="308" t="s">
        <v>1853</v>
      </c>
      <c r="E1023" s="307" t="s">
        <v>1870</v>
      </c>
      <c r="F1023" s="307" t="s">
        <v>1871</v>
      </c>
      <c r="G1023" s="309" t="s">
        <v>1872</v>
      </c>
      <c r="H1023" s="310" t="s">
        <v>1873</v>
      </c>
      <c r="I1023" s="308" t="s">
        <v>1858</v>
      </c>
      <c r="J1023" s="308" t="s">
        <v>1859</v>
      </c>
      <c r="K1023" s="308" t="s">
        <v>63</v>
      </c>
      <c r="L1023" s="306" t="s">
        <v>1860</v>
      </c>
      <c r="M1023" s="306" t="s">
        <v>59</v>
      </c>
      <c r="N1023" s="306" t="s">
        <v>60</v>
      </c>
      <c r="O1023" s="308" t="s">
        <v>1874</v>
      </c>
      <c r="P1023" s="322" t="s">
        <v>2959</v>
      </c>
      <c r="Q1023" s="311">
        <v>4536000</v>
      </c>
      <c r="R1023" s="306">
        <v>1</v>
      </c>
      <c r="S1023" s="312">
        <f>Q1023*R1023</f>
        <v>4536000</v>
      </c>
      <c r="T1023" s="306"/>
      <c r="U1023" s="306" t="s">
        <v>1876</v>
      </c>
      <c r="V1023" s="320" t="s">
        <v>302</v>
      </c>
      <c r="W1023" s="314" t="s">
        <v>63</v>
      </c>
      <c r="X1023" s="306" t="s">
        <v>2960</v>
      </c>
      <c r="Y1023" s="321">
        <v>43202</v>
      </c>
      <c r="Z1023" s="315">
        <v>4536000</v>
      </c>
      <c r="AA1023" s="316" t="s">
        <v>2442</v>
      </c>
      <c r="AB1023" s="317">
        <v>783</v>
      </c>
      <c r="AC1023" s="313">
        <v>43203</v>
      </c>
      <c r="AD1023" s="312">
        <v>4536000</v>
      </c>
      <c r="AE1023" s="318">
        <f t="shared" si="120"/>
        <v>0</v>
      </c>
      <c r="AF1023" s="317"/>
      <c r="AG1023" s="313"/>
      <c r="AH1023" s="312"/>
      <c r="AI1023" s="306"/>
      <c r="AJ1023" s="306"/>
      <c r="AK1023" s="318">
        <f t="shared" si="119"/>
        <v>4536000</v>
      </c>
      <c r="AL1023" s="312">
        <v>0</v>
      </c>
      <c r="AM1023" s="312">
        <f t="shared" si="121"/>
        <v>0</v>
      </c>
      <c r="AN1023" s="306" t="s">
        <v>1863</v>
      </c>
      <c r="AO1023" s="312">
        <f t="shared" si="116"/>
        <v>4536000</v>
      </c>
      <c r="AP1023" s="306"/>
      <c r="AQ1023" s="313">
        <v>43201</v>
      </c>
      <c r="AR1023" s="306" t="s">
        <v>2760</v>
      </c>
      <c r="AS1023" s="313">
        <v>43202</v>
      </c>
      <c r="AT1023" s="306" t="s">
        <v>2959</v>
      </c>
    </row>
    <row r="1024" spans="1:46" ht="102" x14ac:dyDescent="0.25">
      <c r="A1024" s="306">
        <v>429</v>
      </c>
      <c r="B1024" s="306" t="str">
        <f t="shared" si="114"/>
        <v>3075-429</v>
      </c>
      <c r="C1024" s="307" t="s">
        <v>1852</v>
      </c>
      <c r="D1024" s="308" t="s">
        <v>1853</v>
      </c>
      <c r="E1024" s="307" t="s">
        <v>1870</v>
      </c>
      <c r="F1024" s="307" t="s">
        <v>1871</v>
      </c>
      <c r="G1024" s="309" t="s">
        <v>1872</v>
      </c>
      <c r="H1024" s="310" t="s">
        <v>1873</v>
      </c>
      <c r="I1024" s="308" t="s">
        <v>1858</v>
      </c>
      <c r="J1024" s="308" t="s">
        <v>1859</v>
      </c>
      <c r="K1024" s="308" t="s">
        <v>63</v>
      </c>
      <c r="L1024" s="306" t="s">
        <v>1860</v>
      </c>
      <c r="M1024" s="306" t="s">
        <v>59</v>
      </c>
      <c r="N1024" s="306" t="s">
        <v>60</v>
      </c>
      <c r="O1024" s="308" t="s">
        <v>1874</v>
      </c>
      <c r="P1024" s="322" t="s">
        <v>2961</v>
      </c>
      <c r="Q1024" s="311">
        <v>95276430</v>
      </c>
      <c r="R1024" s="306">
        <v>1</v>
      </c>
      <c r="S1024" s="312">
        <f t="shared" ref="S1024:S1040" si="123">Q1024*R1024</f>
        <v>95276430</v>
      </c>
      <c r="T1024" s="306"/>
      <c r="U1024" s="306" t="s">
        <v>1876</v>
      </c>
      <c r="V1024" s="320" t="s">
        <v>302</v>
      </c>
      <c r="W1024" s="314" t="s">
        <v>63</v>
      </c>
      <c r="X1024" s="306" t="s">
        <v>2962</v>
      </c>
      <c r="Y1024" s="321">
        <v>43202</v>
      </c>
      <c r="Z1024" s="315">
        <v>95276430</v>
      </c>
      <c r="AA1024" s="316" t="s">
        <v>2442</v>
      </c>
      <c r="AB1024" s="317">
        <v>784</v>
      </c>
      <c r="AC1024" s="313">
        <v>43203</v>
      </c>
      <c r="AD1024" s="312">
        <v>95276430</v>
      </c>
      <c r="AE1024" s="318">
        <f t="shared" si="120"/>
        <v>0</v>
      </c>
      <c r="AF1024" s="317"/>
      <c r="AG1024" s="313"/>
      <c r="AH1024" s="312"/>
      <c r="AI1024" s="306"/>
      <c r="AJ1024" s="306"/>
      <c r="AK1024" s="318">
        <f t="shared" si="119"/>
        <v>95276430</v>
      </c>
      <c r="AL1024" s="312">
        <v>0</v>
      </c>
      <c r="AM1024" s="312">
        <f t="shared" si="121"/>
        <v>0</v>
      </c>
      <c r="AN1024" s="306" t="s">
        <v>1863</v>
      </c>
      <c r="AO1024" s="312">
        <f t="shared" si="116"/>
        <v>95276430</v>
      </c>
      <c r="AP1024" s="306"/>
      <c r="AQ1024" s="313">
        <v>43201</v>
      </c>
      <c r="AR1024" s="306" t="s">
        <v>2760</v>
      </c>
      <c r="AS1024" s="313">
        <v>43202</v>
      </c>
      <c r="AT1024" s="306" t="s">
        <v>2963</v>
      </c>
    </row>
    <row r="1025" spans="1:46" ht="127.5" x14ac:dyDescent="0.25">
      <c r="A1025" s="306">
        <v>430</v>
      </c>
      <c r="B1025" s="306" t="str">
        <f t="shared" si="114"/>
        <v>3075-430</v>
      </c>
      <c r="C1025" s="307" t="s">
        <v>1852</v>
      </c>
      <c r="D1025" s="308" t="s">
        <v>1853</v>
      </c>
      <c r="E1025" s="307" t="s">
        <v>1870</v>
      </c>
      <c r="F1025" s="307" t="s">
        <v>1871</v>
      </c>
      <c r="G1025" s="309" t="s">
        <v>1872</v>
      </c>
      <c r="H1025" s="310" t="s">
        <v>1873</v>
      </c>
      <c r="I1025" s="308" t="s">
        <v>1858</v>
      </c>
      <c r="J1025" s="308" t="s">
        <v>1859</v>
      </c>
      <c r="K1025" s="308" t="s">
        <v>63</v>
      </c>
      <c r="L1025" s="306" t="s">
        <v>1860</v>
      </c>
      <c r="M1025" s="306" t="s">
        <v>59</v>
      </c>
      <c r="N1025" s="306" t="s">
        <v>60</v>
      </c>
      <c r="O1025" s="308" t="s">
        <v>1874</v>
      </c>
      <c r="P1025" s="322" t="s">
        <v>2964</v>
      </c>
      <c r="Q1025" s="311">
        <v>7733250</v>
      </c>
      <c r="R1025" s="306">
        <v>1</v>
      </c>
      <c r="S1025" s="312">
        <f t="shared" si="123"/>
        <v>7733250</v>
      </c>
      <c r="T1025" s="306"/>
      <c r="U1025" s="306" t="s">
        <v>1876</v>
      </c>
      <c r="V1025" s="320" t="s">
        <v>302</v>
      </c>
      <c r="W1025" s="314" t="s">
        <v>63</v>
      </c>
      <c r="X1025" s="306" t="s">
        <v>2965</v>
      </c>
      <c r="Y1025" s="321">
        <v>43202</v>
      </c>
      <c r="Z1025" s="315">
        <v>7733250</v>
      </c>
      <c r="AA1025" s="316" t="s">
        <v>2442</v>
      </c>
      <c r="AB1025" s="317">
        <v>785</v>
      </c>
      <c r="AC1025" s="313">
        <v>43203</v>
      </c>
      <c r="AD1025" s="312">
        <v>7733250</v>
      </c>
      <c r="AE1025" s="318">
        <f t="shared" si="120"/>
        <v>0</v>
      </c>
      <c r="AF1025" s="317"/>
      <c r="AG1025" s="313"/>
      <c r="AH1025" s="312"/>
      <c r="AI1025" s="306"/>
      <c r="AJ1025" s="306"/>
      <c r="AK1025" s="318">
        <f t="shared" si="119"/>
        <v>7733250</v>
      </c>
      <c r="AL1025" s="312">
        <v>0</v>
      </c>
      <c r="AM1025" s="312">
        <f t="shared" si="121"/>
        <v>0</v>
      </c>
      <c r="AN1025" s="306" t="s">
        <v>1863</v>
      </c>
      <c r="AO1025" s="312">
        <f t="shared" si="116"/>
        <v>7733250</v>
      </c>
      <c r="AP1025" s="306"/>
      <c r="AQ1025" s="313">
        <v>43201</v>
      </c>
      <c r="AR1025" s="306" t="s">
        <v>2760</v>
      </c>
      <c r="AS1025" s="313">
        <v>43202</v>
      </c>
      <c r="AT1025" s="306" t="s">
        <v>2964</v>
      </c>
    </row>
    <row r="1026" spans="1:46" ht="102" x14ac:dyDescent="0.25">
      <c r="A1026" s="306">
        <v>431</v>
      </c>
      <c r="B1026" s="306" t="str">
        <f t="shared" si="114"/>
        <v>3075-431</v>
      </c>
      <c r="C1026" s="307" t="s">
        <v>1852</v>
      </c>
      <c r="D1026" s="308" t="s">
        <v>1853</v>
      </c>
      <c r="E1026" s="308" t="s">
        <v>1879</v>
      </c>
      <c r="F1026" s="307" t="s">
        <v>1880</v>
      </c>
      <c r="G1026" s="309" t="s">
        <v>1881</v>
      </c>
      <c r="H1026" s="310" t="s">
        <v>1882</v>
      </c>
      <c r="I1026" s="308" t="s">
        <v>1858</v>
      </c>
      <c r="J1026" s="308" t="s">
        <v>1888</v>
      </c>
      <c r="K1026" s="308" t="s">
        <v>63</v>
      </c>
      <c r="L1026" s="306" t="s">
        <v>1860</v>
      </c>
      <c r="M1026" s="306" t="s">
        <v>59</v>
      </c>
      <c r="N1026" s="306" t="s">
        <v>60</v>
      </c>
      <c r="O1026" s="308" t="s">
        <v>1874</v>
      </c>
      <c r="P1026" s="308" t="s">
        <v>2966</v>
      </c>
      <c r="Q1026" s="311">
        <v>39062100</v>
      </c>
      <c r="R1026" s="306">
        <v>1</v>
      </c>
      <c r="S1026" s="312">
        <f t="shared" si="123"/>
        <v>39062100</v>
      </c>
      <c r="T1026" s="306"/>
      <c r="U1026" s="306" t="s">
        <v>1876</v>
      </c>
      <c r="V1026" s="313" t="s">
        <v>1015</v>
      </c>
      <c r="W1026" s="314" t="s">
        <v>63</v>
      </c>
      <c r="X1026" s="306" t="s">
        <v>2967</v>
      </c>
      <c r="Y1026" s="321">
        <v>43202</v>
      </c>
      <c r="Z1026" s="315">
        <v>39062100</v>
      </c>
      <c r="AA1026" s="316" t="s">
        <v>1891</v>
      </c>
      <c r="AB1026" s="317">
        <v>777</v>
      </c>
      <c r="AC1026" s="313">
        <v>43203</v>
      </c>
      <c r="AD1026" s="312">
        <v>39062100</v>
      </c>
      <c r="AE1026" s="318">
        <f t="shared" si="120"/>
        <v>0</v>
      </c>
      <c r="AF1026" s="317"/>
      <c r="AG1026" s="313"/>
      <c r="AH1026" s="312"/>
      <c r="AI1026" s="306"/>
      <c r="AJ1026" s="306"/>
      <c r="AK1026" s="318">
        <f t="shared" si="119"/>
        <v>39062100</v>
      </c>
      <c r="AL1026" s="312">
        <v>0</v>
      </c>
      <c r="AM1026" s="312">
        <f t="shared" si="121"/>
        <v>0</v>
      </c>
      <c r="AN1026" s="306" t="s">
        <v>1863</v>
      </c>
      <c r="AO1026" s="312">
        <f t="shared" si="116"/>
        <v>39062100</v>
      </c>
      <c r="AP1026" s="306"/>
      <c r="AQ1026" s="313">
        <v>43201</v>
      </c>
      <c r="AR1026" s="306" t="s">
        <v>2760</v>
      </c>
      <c r="AS1026" s="313">
        <v>43202</v>
      </c>
      <c r="AT1026" s="306" t="s">
        <v>2966</v>
      </c>
    </row>
    <row r="1027" spans="1:46" ht="140.25" x14ac:dyDescent="0.25">
      <c r="A1027" s="306">
        <v>432</v>
      </c>
      <c r="B1027" s="306" t="str">
        <f t="shared" si="114"/>
        <v>3075-432</v>
      </c>
      <c r="C1027" s="307" t="s">
        <v>1852</v>
      </c>
      <c r="D1027" s="308" t="s">
        <v>1853</v>
      </c>
      <c r="E1027" s="307" t="s">
        <v>1870</v>
      </c>
      <c r="F1027" s="307" t="s">
        <v>1871</v>
      </c>
      <c r="G1027" s="309" t="s">
        <v>1872</v>
      </c>
      <c r="H1027" s="310" t="s">
        <v>1873</v>
      </c>
      <c r="I1027" s="308" t="s">
        <v>1858</v>
      </c>
      <c r="J1027" s="308" t="s">
        <v>1859</v>
      </c>
      <c r="K1027" s="308" t="s">
        <v>63</v>
      </c>
      <c r="L1027" s="306" t="s">
        <v>1860</v>
      </c>
      <c r="M1027" s="306" t="s">
        <v>59</v>
      </c>
      <c r="N1027" s="306" t="s">
        <v>60</v>
      </c>
      <c r="O1027" s="308" t="s">
        <v>1874</v>
      </c>
      <c r="P1027" s="322" t="s">
        <v>2968</v>
      </c>
      <c r="Q1027" s="311">
        <v>7392000</v>
      </c>
      <c r="R1027" s="306">
        <v>1</v>
      </c>
      <c r="S1027" s="312">
        <f t="shared" si="123"/>
        <v>7392000</v>
      </c>
      <c r="T1027" s="306"/>
      <c r="U1027" s="306" t="s">
        <v>1876</v>
      </c>
      <c r="V1027" s="320" t="s">
        <v>302</v>
      </c>
      <c r="W1027" s="314" t="s">
        <v>63</v>
      </c>
      <c r="X1027" s="306" t="s">
        <v>2969</v>
      </c>
      <c r="Y1027" s="321">
        <v>43202</v>
      </c>
      <c r="Z1027" s="315">
        <v>7392000</v>
      </c>
      <c r="AA1027" s="316" t="s">
        <v>2442</v>
      </c>
      <c r="AB1027" s="317">
        <v>778</v>
      </c>
      <c r="AC1027" s="313">
        <v>43203</v>
      </c>
      <c r="AD1027" s="312">
        <v>7392000</v>
      </c>
      <c r="AE1027" s="318">
        <f t="shared" si="120"/>
        <v>0</v>
      </c>
      <c r="AF1027" s="317"/>
      <c r="AG1027" s="313"/>
      <c r="AH1027" s="312"/>
      <c r="AI1027" s="306"/>
      <c r="AJ1027" s="306"/>
      <c r="AK1027" s="318">
        <f t="shared" si="119"/>
        <v>7392000</v>
      </c>
      <c r="AL1027" s="312">
        <v>0</v>
      </c>
      <c r="AM1027" s="312">
        <f t="shared" si="121"/>
        <v>0</v>
      </c>
      <c r="AN1027" s="306" t="s">
        <v>1863</v>
      </c>
      <c r="AO1027" s="312">
        <f t="shared" si="116"/>
        <v>7392000</v>
      </c>
      <c r="AP1027" s="306"/>
      <c r="AQ1027" s="313">
        <v>43201</v>
      </c>
      <c r="AR1027" s="306" t="s">
        <v>2760</v>
      </c>
      <c r="AS1027" s="313">
        <v>43202</v>
      </c>
      <c r="AT1027" s="306" t="s">
        <v>2968</v>
      </c>
    </row>
    <row r="1028" spans="1:46" ht="102" x14ac:dyDescent="0.25">
      <c r="A1028" s="306">
        <v>433</v>
      </c>
      <c r="B1028" s="306" t="str">
        <f t="shared" si="114"/>
        <v>3075-433</v>
      </c>
      <c r="C1028" s="307" t="s">
        <v>1852</v>
      </c>
      <c r="D1028" s="308" t="s">
        <v>1853</v>
      </c>
      <c r="E1028" s="308" t="s">
        <v>1879</v>
      </c>
      <c r="F1028" s="307" t="s">
        <v>1880</v>
      </c>
      <c r="G1028" s="309" t="s">
        <v>1881</v>
      </c>
      <c r="H1028" s="310" t="s">
        <v>1882</v>
      </c>
      <c r="I1028" s="308" t="s">
        <v>1858</v>
      </c>
      <c r="J1028" s="308" t="s">
        <v>1888</v>
      </c>
      <c r="K1028" s="308" t="s">
        <v>63</v>
      </c>
      <c r="L1028" s="306" t="s">
        <v>1860</v>
      </c>
      <c r="M1028" s="306" t="s">
        <v>59</v>
      </c>
      <c r="N1028" s="306" t="s">
        <v>60</v>
      </c>
      <c r="O1028" s="308" t="s">
        <v>1874</v>
      </c>
      <c r="P1028" s="308" t="s">
        <v>2970</v>
      </c>
      <c r="Q1028" s="311">
        <v>62779330</v>
      </c>
      <c r="R1028" s="306">
        <v>1</v>
      </c>
      <c r="S1028" s="312">
        <f t="shared" si="123"/>
        <v>62779330</v>
      </c>
      <c r="T1028" s="306"/>
      <c r="U1028" s="306" t="s">
        <v>1876</v>
      </c>
      <c r="V1028" s="313" t="s">
        <v>1015</v>
      </c>
      <c r="W1028" s="314" t="s">
        <v>63</v>
      </c>
      <c r="X1028" s="306" t="s">
        <v>2971</v>
      </c>
      <c r="Y1028" s="321">
        <v>43202</v>
      </c>
      <c r="Z1028" s="315">
        <v>62779330</v>
      </c>
      <c r="AA1028" s="316" t="s">
        <v>1891</v>
      </c>
      <c r="AB1028" s="317">
        <v>779</v>
      </c>
      <c r="AC1028" s="313">
        <v>43203</v>
      </c>
      <c r="AD1028" s="312">
        <v>62779330</v>
      </c>
      <c r="AE1028" s="318">
        <f t="shared" si="120"/>
        <v>0</v>
      </c>
      <c r="AF1028" s="317"/>
      <c r="AG1028" s="313"/>
      <c r="AH1028" s="312"/>
      <c r="AI1028" s="306"/>
      <c r="AJ1028" s="306"/>
      <c r="AK1028" s="318">
        <f t="shared" si="119"/>
        <v>62779330</v>
      </c>
      <c r="AL1028" s="312">
        <v>0</v>
      </c>
      <c r="AM1028" s="312">
        <f t="shared" si="121"/>
        <v>0</v>
      </c>
      <c r="AN1028" s="306" t="s">
        <v>1863</v>
      </c>
      <c r="AO1028" s="312">
        <f t="shared" si="116"/>
        <v>62779330</v>
      </c>
      <c r="AP1028" s="306"/>
      <c r="AQ1028" s="313">
        <v>43201</v>
      </c>
      <c r="AR1028" s="306" t="s">
        <v>2760</v>
      </c>
      <c r="AS1028" s="313">
        <v>43202</v>
      </c>
      <c r="AT1028" s="306" t="s">
        <v>2970</v>
      </c>
    </row>
    <row r="1029" spans="1:46" ht="114.75" x14ac:dyDescent="0.25">
      <c r="A1029" s="306">
        <v>434</v>
      </c>
      <c r="B1029" s="306" t="str">
        <f t="shared" si="114"/>
        <v>3075-434</v>
      </c>
      <c r="C1029" s="307" t="s">
        <v>1852</v>
      </c>
      <c r="D1029" s="308" t="s">
        <v>1853</v>
      </c>
      <c r="E1029" s="308" t="s">
        <v>1879</v>
      </c>
      <c r="F1029" s="307" t="s">
        <v>1880</v>
      </c>
      <c r="G1029" s="309" t="s">
        <v>1881</v>
      </c>
      <c r="H1029" s="310" t="s">
        <v>1882</v>
      </c>
      <c r="I1029" s="308" t="s">
        <v>1858</v>
      </c>
      <c r="J1029" s="308" t="s">
        <v>1888</v>
      </c>
      <c r="K1029" s="308" t="s">
        <v>63</v>
      </c>
      <c r="L1029" s="306" t="s">
        <v>1860</v>
      </c>
      <c r="M1029" s="306" t="s">
        <v>59</v>
      </c>
      <c r="N1029" s="306" t="s">
        <v>60</v>
      </c>
      <c r="O1029" s="308" t="s">
        <v>1874</v>
      </c>
      <c r="P1029" s="308" t="s">
        <v>2972</v>
      </c>
      <c r="Q1029" s="311">
        <v>39062100</v>
      </c>
      <c r="R1029" s="306">
        <v>1</v>
      </c>
      <c r="S1029" s="312">
        <f t="shared" si="123"/>
        <v>39062100</v>
      </c>
      <c r="T1029" s="306"/>
      <c r="U1029" s="306" t="s">
        <v>1876</v>
      </c>
      <c r="V1029" s="313" t="s">
        <v>1015</v>
      </c>
      <c r="W1029" s="314" t="s">
        <v>63</v>
      </c>
      <c r="X1029" s="306" t="s">
        <v>2973</v>
      </c>
      <c r="Y1029" s="321">
        <v>43202</v>
      </c>
      <c r="Z1029" s="315">
        <v>39062100</v>
      </c>
      <c r="AA1029" s="316" t="s">
        <v>1891</v>
      </c>
      <c r="AB1029" s="317">
        <v>786</v>
      </c>
      <c r="AC1029" s="313">
        <v>43203</v>
      </c>
      <c r="AD1029" s="312">
        <v>39062100</v>
      </c>
      <c r="AE1029" s="318">
        <f t="shared" si="120"/>
        <v>0</v>
      </c>
      <c r="AF1029" s="317">
        <v>1846</v>
      </c>
      <c r="AG1029" s="313">
        <v>43216</v>
      </c>
      <c r="AH1029" s="312">
        <v>39062100</v>
      </c>
      <c r="AI1029" s="306" t="s">
        <v>2974</v>
      </c>
      <c r="AJ1029" s="306">
        <v>1933</v>
      </c>
      <c r="AK1029" s="318">
        <f t="shared" si="119"/>
        <v>0</v>
      </c>
      <c r="AL1029" s="312">
        <f>VLOOKUP(AB1029,RP,13,FALSE)</f>
        <v>0</v>
      </c>
      <c r="AM1029" s="312">
        <f t="shared" si="121"/>
        <v>39062100</v>
      </c>
      <c r="AN1029" s="306" t="s">
        <v>1863</v>
      </c>
      <c r="AO1029" s="312">
        <f t="shared" si="116"/>
        <v>0</v>
      </c>
      <c r="AP1029" s="306"/>
      <c r="AQ1029" s="313">
        <v>43201</v>
      </c>
      <c r="AR1029" s="306" t="s">
        <v>2760</v>
      </c>
      <c r="AS1029" s="313">
        <v>43202</v>
      </c>
      <c r="AT1029" s="306" t="s">
        <v>2972</v>
      </c>
    </row>
    <row r="1030" spans="1:46" ht="102" x14ac:dyDescent="0.25">
      <c r="A1030" s="306">
        <v>435</v>
      </c>
      <c r="B1030" s="306" t="str">
        <f t="shared" si="114"/>
        <v>3075-435</v>
      </c>
      <c r="C1030" s="307" t="s">
        <v>1852</v>
      </c>
      <c r="D1030" s="308" t="s">
        <v>1853</v>
      </c>
      <c r="E1030" s="307" t="s">
        <v>1870</v>
      </c>
      <c r="F1030" s="307" t="s">
        <v>1871</v>
      </c>
      <c r="G1030" s="309" t="s">
        <v>1872</v>
      </c>
      <c r="H1030" s="310" t="s">
        <v>1873</v>
      </c>
      <c r="I1030" s="308" t="s">
        <v>1858</v>
      </c>
      <c r="J1030" s="308" t="s">
        <v>1859</v>
      </c>
      <c r="K1030" s="308" t="s">
        <v>63</v>
      </c>
      <c r="L1030" s="306" t="s">
        <v>1860</v>
      </c>
      <c r="M1030" s="306" t="s">
        <v>59</v>
      </c>
      <c r="N1030" s="306" t="s">
        <v>60</v>
      </c>
      <c r="O1030" s="308" t="s">
        <v>1874</v>
      </c>
      <c r="P1030" s="322" t="s">
        <v>2975</v>
      </c>
      <c r="Q1030" s="311">
        <v>52944200</v>
      </c>
      <c r="R1030" s="306">
        <v>1</v>
      </c>
      <c r="S1030" s="312">
        <f t="shared" si="123"/>
        <v>52944200</v>
      </c>
      <c r="T1030" s="306"/>
      <c r="U1030" s="306" t="s">
        <v>1876</v>
      </c>
      <c r="V1030" s="320" t="s">
        <v>302</v>
      </c>
      <c r="W1030" s="314" t="s">
        <v>63</v>
      </c>
      <c r="X1030" s="306" t="s">
        <v>2976</v>
      </c>
      <c r="Y1030" s="321">
        <v>43202</v>
      </c>
      <c r="Z1030" s="315">
        <v>52944200</v>
      </c>
      <c r="AA1030" s="316" t="s">
        <v>2952</v>
      </c>
      <c r="AB1030" s="317">
        <v>787</v>
      </c>
      <c r="AC1030" s="313">
        <v>43203</v>
      </c>
      <c r="AD1030" s="312">
        <v>52944200</v>
      </c>
      <c r="AE1030" s="318">
        <f t="shared" si="120"/>
        <v>0</v>
      </c>
      <c r="AF1030" s="317"/>
      <c r="AG1030" s="313"/>
      <c r="AH1030" s="312"/>
      <c r="AI1030" s="306"/>
      <c r="AJ1030" s="306"/>
      <c r="AK1030" s="318">
        <f t="shared" si="119"/>
        <v>52944200</v>
      </c>
      <c r="AL1030" s="312">
        <v>0</v>
      </c>
      <c r="AM1030" s="312">
        <f t="shared" si="121"/>
        <v>0</v>
      </c>
      <c r="AN1030" s="306" t="s">
        <v>1863</v>
      </c>
      <c r="AO1030" s="312">
        <f t="shared" si="116"/>
        <v>52944200</v>
      </c>
      <c r="AP1030" s="306"/>
      <c r="AQ1030" s="313">
        <v>43201</v>
      </c>
      <c r="AR1030" s="306" t="s">
        <v>2760</v>
      </c>
      <c r="AS1030" s="313">
        <v>43202</v>
      </c>
      <c r="AT1030" s="306" t="s">
        <v>2975</v>
      </c>
    </row>
    <row r="1031" spans="1:46" ht="102" x14ac:dyDescent="0.25">
      <c r="A1031" s="306">
        <v>436</v>
      </c>
      <c r="B1031" s="306" t="str">
        <f t="shared" si="114"/>
        <v>3075-436</v>
      </c>
      <c r="C1031" s="307" t="s">
        <v>1852</v>
      </c>
      <c r="D1031" s="308" t="s">
        <v>1853</v>
      </c>
      <c r="E1031" s="308" t="s">
        <v>1879</v>
      </c>
      <c r="F1031" s="307" t="s">
        <v>1880</v>
      </c>
      <c r="G1031" s="309" t="s">
        <v>1881</v>
      </c>
      <c r="H1031" s="310" t="s">
        <v>1882</v>
      </c>
      <c r="I1031" s="308" t="s">
        <v>1858</v>
      </c>
      <c r="J1031" s="308" t="s">
        <v>1883</v>
      </c>
      <c r="K1031" s="308" t="s">
        <v>63</v>
      </c>
      <c r="L1031" s="306" t="s">
        <v>1860</v>
      </c>
      <c r="M1031" s="306" t="s">
        <v>59</v>
      </c>
      <c r="N1031" s="306" t="s">
        <v>60</v>
      </c>
      <c r="O1031" s="308" t="s">
        <v>1874</v>
      </c>
      <c r="P1031" s="308" t="s">
        <v>2977</v>
      </c>
      <c r="Q1031" s="311">
        <v>8741700</v>
      </c>
      <c r="R1031" s="306">
        <v>1</v>
      </c>
      <c r="S1031" s="312">
        <f t="shared" si="123"/>
        <v>8741700</v>
      </c>
      <c r="T1031" s="306"/>
      <c r="U1031" s="306" t="s">
        <v>1876</v>
      </c>
      <c r="V1031" s="320" t="s">
        <v>302</v>
      </c>
      <c r="W1031" s="314" t="s">
        <v>63</v>
      </c>
      <c r="X1031" s="306" t="s">
        <v>2978</v>
      </c>
      <c r="Y1031" s="321">
        <v>43202</v>
      </c>
      <c r="Z1031" s="315">
        <v>8741700</v>
      </c>
      <c r="AA1031" s="316" t="s">
        <v>2680</v>
      </c>
      <c r="AB1031" s="317">
        <v>780</v>
      </c>
      <c r="AC1031" s="313">
        <v>43203</v>
      </c>
      <c r="AD1031" s="312">
        <v>8741700</v>
      </c>
      <c r="AE1031" s="318">
        <f t="shared" si="120"/>
        <v>0</v>
      </c>
      <c r="AF1031" s="317"/>
      <c r="AG1031" s="313"/>
      <c r="AH1031" s="312"/>
      <c r="AI1031" s="306"/>
      <c r="AJ1031" s="306"/>
      <c r="AK1031" s="318">
        <f t="shared" si="119"/>
        <v>8741700</v>
      </c>
      <c r="AL1031" s="312">
        <v>0</v>
      </c>
      <c r="AM1031" s="312">
        <f t="shared" si="121"/>
        <v>0</v>
      </c>
      <c r="AN1031" s="306" t="s">
        <v>1863</v>
      </c>
      <c r="AO1031" s="312">
        <f t="shared" si="116"/>
        <v>8741700</v>
      </c>
      <c r="AP1031" s="306"/>
      <c r="AQ1031" s="313">
        <v>43201</v>
      </c>
      <c r="AR1031" s="306" t="s">
        <v>2760</v>
      </c>
      <c r="AS1031" s="313">
        <v>43202</v>
      </c>
      <c r="AT1031" s="306" t="s">
        <v>2977</v>
      </c>
    </row>
    <row r="1032" spans="1:46" ht="114.75" x14ac:dyDescent="0.25">
      <c r="A1032" s="306">
        <v>437</v>
      </c>
      <c r="B1032" s="306" t="str">
        <f t="shared" si="114"/>
        <v>3075-437</v>
      </c>
      <c r="C1032" s="307" t="s">
        <v>1852</v>
      </c>
      <c r="D1032" s="308" t="s">
        <v>1853</v>
      </c>
      <c r="E1032" s="308" t="s">
        <v>1879</v>
      </c>
      <c r="F1032" s="307" t="s">
        <v>1880</v>
      </c>
      <c r="G1032" s="309" t="s">
        <v>1881</v>
      </c>
      <c r="H1032" s="310" t="s">
        <v>1882</v>
      </c>
      <c r="I1032" s="308" t="s">
        <v>1858</v>
      </c>
      <c r="J1032" s="308" t="s">
        <v>1883</v>
      </c>
      <c r="K1032" s="308" t="s">
        <v>63</v>
      </c>
      <c r="L1032" s="306" t="s">
        <v>1860</v>
      </c>
      <c r="M1032" s="306" t="s">
        <v>59</v>
      </c>
      <c r="N1032" s="306" t="s">
        <v>60</v>
      </c>
      <c r="O1032" s="308" t="s">
        <v>1874</v>
      </c>
      <c r="P1032" s="308" t="s">
        <v>2979</v>
      </c>
      <c r="Q1032" s="311">
        <v>480610</v>
      </c>
      <c r="R1032" s="306">
        <v>1</v>
      </c>
      <c r="S1032" s="312">
        <f t="shared" si="123"/>
        <v>480610</v>
      </c>
      <c r="T1032" s="306"/>
      <c r="U1032" s="306" t="s">
        <v>1876</v>
      </c>
      <c r="V1032" s="320" t="s">
        <v>302</v>
      </c>
      <c r="W1032" s="314" t="s">
        <v>63</v>
      </c>
      <c r="X1032" s="306" t="s">
        <v>2980</v>
      </c>
      <c r="Y1032" s="321">
        <v>43202</v>
      </c>
      <c r="Z1032" s="315">
        <v>480610</v>
      </c>
      <c r="AA1032" s="316" t="s">
        <v>2680</v>
      </c>
      <c r="AB1032" s="317">
        <v>781</v>
      </c>
      <c r="AC1032" s="313">
        <v>43203</v>
      </c>
      <c r="AD1032" s="312">
        <v>480610</v>
      </c>
      <c r="AE1032" s="318">
        <f t="shared" si="120"/>
        <v>0</v>
      </c>
      <c r="AF1032" s="317"/>
      <c r="AG1032" s="313"/>
      <c r="AH1032" s="312"/>
      <c r="AI1032" s="306"/>
      <c r="AJ1032" s="306"/>
      <c r="AK1032" s="318">
        <f t="shared" si="119"/>
        <v>480610</v>
      </c>
      <c r="AL1032" s="312">
        <v>0</v>
      </c>
      <c r="AM1032" s="312">
        <f t="shared" si="121"/>
        <v>0</v>
      </c>
      <c r="AN1032" s="306" t="s">
        <v>1863</v>
      </c>
      <c r="AO1032" s="312">
        <f t="shared" si="116"/>
        <v>480610</v>
      </c>
      <c r="AP1032" s="306"/>
      <c r="AQ1032" s="313">
        <v>43201</v>
      </c>
      <c r="AR1032" s="306" t="s">
        <v>2760</v>
      </c>
      <c r="AS1032" s="313">
        <v>43202</v>
      </c>
      <c r="AT1032" s="306" t="s">
        <v>2979</v>
      </c>
    </row>
    <row r="1033" spans="1:46" ht="102" x14ac:dyDescent="0.25">
      <c r="A1033" s="306">
        <v>438</v>
      </c>
      <c r="B1033" s="306" t="str">
        <f t="shared" si="114"/>
        <v>3075-438</v>
      </c>
      <c r="C1033" s="307" t="s">
        <v>1852</v>
      </c>
      <c r="D1033" s="308" t="s">
        <v>1853</v>
      </c>
      <c r="E1033" s="307" t="s">
        <v>1854</v>
      </c>
      <c r="F1033" s="308" t="s">
        <v>1871</v>
      </c>
      <c r="G1033" s="319" t="s">
        <v>1856</v>
      </c>
      <c r="H1033" s="325" t="s">
        <v>2709</v>
      </c>
      <c r="I1033" s="308" t="s">
        <v>1858</v>
      </c>
      <c r="J1033" s="308" t="s">
        <v>1859</v>
      </c>
      <c r="K1033" s="308" t="s">
        <v>63</v>
      </c>
      <c r="L1033" s="306" t="s">
        <v>1860</v>
      </c>
      <c r="M1033" s="306" t="s">
        <v>59</v>
      </c>
      <c r="N1033" s="306" t="s">
        <v>60</v>
      </c>
      <c r="O1033" s="308" t="s">
        <v>1899</v>
      </c>
      <c r="P1033" s="308" t="s">
        <v>2981</v>
      </c>
      <c r="Q1033" s="311">
        <v>406560</v>
      </c>
      <c r="R1033" s="306">
        <v>1</v>
      </c>
      <c r="S1033" s="312">
        <f t="shared" si="123"/>
        <v>406560</v>
      </c>
      <c r="T1033" s="306"/>
      <c r="U1033" s="306" t="s">
        <v>1876</v>
      </c>
      <c r="V1033" s="313" t="s">
        <v>302</v>
      </c>
      <c r="W1033" s="314" t="s">
        <v>63</v>
      </c>
      <c r="X1033" s="324" t="s">
        <v>2982</v>
      </c>
      <c r="Y1033" s="313">
        <v>43208</v>
      </c>
      <c r="Z1033" s="315">
        <v>406560</v>
      </c>
      <c r="AA1033" s="316" t="s">
        <v>2983</v>
      </c>
      <c r="AB1033" s="317">
        <v>798</v>
      </c>
      <c r="AC1033" s="313">
        <v>43208</v>
      </c>
      <c r="AD1033" s="312">
        <v>406560</v>
      </c>
      <c r="AE1033" s="318">
        <f t="shared" si="120"/>
        <v>0</v>
      </c>
      <c r="AF1033" s="317">
        <v>1814</v>
      </c>
      <c r="AG1033" s="313">
        <v>43209</v>
      </c>
      <c r="AH1033" s="312">
        <v>406560</v>
      </c>
      <c r="AI1033" s="306" t="s">
        <v>2984</v>
      </c>
      <c r="AJ1033" s="306">
        <v>1894</v>
      </c>
      <c r="AK1033" s="318">
        <f t="shared" si="119"/>
        <v>0</v>
      </c>
      <c r="AL1033" s="312">
        <f>VLOOKUP(AB1033,RP,13,FALSE)</f>
        <v>406560</v>
      </c>
      <c r="AM1033" s="312">
        <f t="shared" si="121"/>
        <v>0</v>
      </c>
      <c r="AN1033" s="306" t="s">
        <v>1863</v>
      </c>
      <c r="AO1033" s="312">
        <f t="shared" si="116"/>
        <v>0</v>
      </c>
      <c r="AP1033" s="306"/>
      <c r="AQ1033" s="313">
        <v>43208</v>
      </c>
      <c r="AR1033" s="306" t="s">
        <v>2760</v>
      </c>
      <c r="AS1033" s="313">
        <v>43208</v>
      </c>
      <c r="AT1033" s="306" t="s">
        <v>2985</v>
      </c>
    </row>
    <row r="1034" spans="1:46" ht="102" x14ac:dyDescent="0.25">
      <c r="A1034" s="306">
        <v>439</v>
      </c>
      <c r="B1034" s="306" t="str">
        <f t="shared" si="114"/>
        <v>3075-439</v>
      </c>
      <c r="C1034" s="307" t="s">
        <v>1852</v>
      </c>
      <c r="D1034" s="308" t="s">
        <v>1853</v>
      </c>
      <c r="E1034" s="307" t="s">
        <v>1870</v>
      </c>
      <c r="F1034" s="307" t="s">
        <v>1871</v>
      </c>
      <c r="G1034" s="309" t="s">
        <v>1872</v>
      </c>
      <c r="H1034" s="310" t="s">
        <v>1873</v>
      </c>
      <c r="I1034" s="308" t="s">
        <v>1858</v>
      </c>
      <c r="J1034" s="308" t="s">
        <v>1859</v>
      </c>
      <c r="K1034" s="308" t="s">
        <v>63</v>
      </c>
      <c r="L1034" s="306" t="s">
        <v>1860</v>
      </c>
      <c r="M1034" s="306" t="s">
        <v>59</v>
      </c>
      <c r="N1034" s="306" t="s">
        <v>60</v>
      </c>
      <c r="O1034" s="308" t="s">
        <v>1874</v>
      </c>
      <c r="P1034" s="322" t="s">
        <v>2986</v>
      </c>
      <c r="Q1034" s="311">
        <v>22194000</v>
      </c>
      <c r="R1034" s="306">
        <v>1</v>
      </c>
      <c r="S1034" s="312">
        <f t="shared" si="123"/>
        <v>22194000</v>
      </c>
      <c r="T1034" s="306"/>
      <c r="U1034" s="306" t="s">
        <v>1876</v>
      </c>
      <c r="V1034" s="320" t="s">
        <v>302</v>
      </c>
      <c r="W1034" s="314" t="s">
        <v>63</v>
      </c>
      <c r="X1034" s="306" t="s">
        <v>2987</v>
      </c>
      <c r="Y1034" s="321">
        <v>43208</v>
      </c>
      <c r="Z1034" s="315">
        <v>22194000</v>
      </c>
      <c r="AA1034" s="316" t="s">
        <v>2442</v>
      </c>
      <c r="AB1034" s="317">
        <v>801</v>
      </c>
      <c r="AC1034" s="313">
        <v>43210</v>
      </c>
      <c r="AD1034" s="312">
        <v>22194000</v>
      </c>
      <c r="AE1034" s="318">
        <f t="shared" si="120"/>
        <v>0</v>
      </c>
      <c r="AF1034" s="317"/>
      <c r="AG1034" s="313"/>
      <c r="AH1034" s="312"/>
      <c r="AI1034" s="306"/>
      <c r="AJ1034" s="306"/>
      <c r="AK1034" s="318">
        <f t="shared" si="119"/>
        <v>22194000</v>
      </c>
      <c r="AL1034" s="312">
        <v>0</v>
      </c>
      <c r="AM1034" s="312">
        <f t="shared" si="121"/>
        <v>0</v>
      </c>
      <c r="AN1034" s="306" t="s">
        <v>1863</v>
      </c>
      <c r="AO1034" s="312">
        <f t="shared" si="116"/>
        <v>22194000</v>
      </c>
      <c r="AP1034" s="306"/>
      <c r="AQ1034" s="313">
        <v>43207</v>
      </c>
      <c r="AR1034" s="306" t="s">
        <v>2760</v>
      </c>
      <c r="AS1034" s="313">
        <v>43208</v>
      </c>
      <c r="AT1034" s="306" t="s">
        <v>2986</v>
      </c>
    </row>
    <row r="1035" spans="1:46" ht="102" x14ac:dyDescent="0.25">
      <c r="A1035" s="306">
        <v>440</v>
      </c>
      <c r="B1035" s="306" t="str">
        <f t="shared" si="114"/>
        <v>3075-440</v>
      </c>
      <c r="C1035" s="307" t="s">
        <v>1852</v>
      </c>
      <c r="D1035" s="308" t="s">
        <v>1853</v>
      </c>
      <c r="E1035" s="308" t="s">
        <v>1879</v>
      </c>
      <c r="F1035" s="307" t="s">
        <v>1880</v>
      </c>
      <c r="G1035" s="309" t="s">
        <v>1881</v>
      </c>
      <c r="H1035" s="310" t="s">
        <v>1882</v>
      </c>
      <c r="I1035" s="308" t="s">
        <v>1858</v>
      </c>
      <c r="J1035" s="308" t="s">
        <v>1883</v>
      </c>
      <c r="K1035" s="308" t="s">
        <v>63</v>
      </c>
      <c r="L1035" s="306" t="s">
        <v>1860</v>
      </c>
      <c r="M1035" s="306" t="s">
        <v>59</v>
      </c>
      <c r="N1035" s="306" t="s">
        <v>60</v>
      </c>
      <c r="O1035" s="308" t="s">
        <v>1874</v>
      </c>
      <c r="P1035" s="308" t="s">
        <v>2988</v>
      </c>
      <c r="Q1035" s="311">
        <v>4151008</v>
      </c>
      <c r="R1035" s="306">
        <v>1</v>
      </c>
      <c r="S1035" s="312">
        <f t="shared" si="123"/>
        <v>4151008</v>
      </c>
      <c r="T1035" s="306"/>
      <c r="U1035" s="306" t="s">
        <v>1876</v>
      </c>
      <c r="V1035" s="320" t="s">
        <v>302</v>
      </c>
      <c r="W1035" s="314" t="s">
        <v>63</v>
      </c>
      <c r="X1035" s="323" t="s">
        <v>2989</v>
      </c>
      <c r="Y1035" s="321">
        <v>43215</v>
      </c>
      <c r="Z1035" s="315">
        <v>4151008</v>
      </c>
      <c r="AA1035" s="316" t="s">
        <v>2680</v>
      </c>
      <c r="AB1035" s="317">
        <v>813</v>
      </c>
      <c r="AC1035" s="313">
        <v>43220</v>
      </c>
      <c r="AD1035" s="312">
        <v>4151008</v>
      </c>
      <c r="AE1035" s="318">
        <f t="shared" si="120"/>
        <v>0</v>
      </c>
      <c r="AF1035" s="317"/>
      <c r="AG1035" s="313"/>
      <c r="AH1035" s="312"/>
      <c r="AI1035" s="306"/>
      <c r="AJ1035" s="318"/>
      <c r="AK1035" s="318">
        <f t="shared" si="119"/>
        <v>4151008</v>
      </c>
      <c r="AL1035" s="312">
        <v>0</v>
      </c>
      <c r="AM1035" s="312">
        <f t="shared" si="121"/>
        <v>0</v>
      </c>
      <c r="AN1035" s="306" t="s">
        <v>1863</v>
      </c>
      <c r="AO1035" s="312">
        <f t="shared" si="116"/>
        <v>4151008</v>
      </c>
      <c r="AP1035" s="306"/>
      <c r="AQ1035" s="313">
        <v>43215</v>
      </c>
      <c r="AR1035" s="306" t="s">
        <v>2760</v>
      </c>
      <c r="AS1035" s="313">
        <v>43215</v>
      </c>
      <c r="AT1035" s="306" t="s">
        <v>2988</v>
      </c>
    </row>
    <row r="1036" spans="1:46" ht="76.5" x14ac:dyDescent="0.25">
      <c r="A1036" s="306">
        <v>441</v>
      </c>
      <c r="B1036" s="306" t="str">
        <f t="shared" si="114"/>
        <v>3075-441</v>
      </c>
      <c r="C1036" s="307" t="s">
        <v>1852</v>
      </c>
      <c r="D1036" s="308" t="s">
        <v>1853</v>
      </c>
      <c r="E1036" s="308" t="s">
        <v>1879</v>
      </c>
      <c r="F1036" s="307" t="s">
        <v>1880</v>
      </c>
      <c r="G1036" s="309" t="s">
        <v>1881</v>
      </c>
      <c r="H1036" s="310" t="s">
        <v>1882</v>
      </c>
      <c r="I1036" s="308" t="s">
        <v>1858</v>
      </c>
      <c r="J1036" s="308" t="s">
        <v>1888</v>
      </c>
      <c r="K1036" s="308" t="s">
        <v>63</v>
      </c>
      <c r="L1036" s="306" t="s">
        <v>1860</v>
      </c>
      <c r="M1036" s="306" t="s">
        <v>59</v>
      </c>
      <c r="N1036" s="306" t="s">
        <v>60</v>
      </c>
      <c r="O1036" s="308" t="s">
        <v>1874</v>
      </c>
      <c r="P1036" s="308" t="s">
        <v>2988</v>
      </c>
      <c r="Q1036" s="311">
        <v>34911092</v>
      </c>
      <c r="R1036" s="306">
        <v>1</v>
      </c>
      <c r="S1036" s="312">
        <f t="shared" si="123"/>
        <v>34911092</v>
      </c>
      <c r="T1036" s="306"/>
      <c r="U1036" s="306" t="s">
        <v>1876</v>
      </c>
      <c r="V1036" s="313" t="s">
        <v>1015</v>
      </c>
      <c r="W1036" s="314" t="s">
        <v>63</v>
      </c>
      <c r="X1036" s="323" t="s">
        <v>2990</v>
      </c>
      <c r="Y1036" s="321">
        <v>43215</v>
      </c>
      <c r="Z1036" s="315">
        <v>34911092</v>
      </c>
      <c r="AA1036" s="316" t="s">
        <v>1891</v>
      </c>
      <c r="AB1036" s="317">
        <v>812</v>
      </c>
      <c r="AC1036" s="313">
        <v>43220</v>
      </c>
      <c r="AD1036" s="312">
        <v>34911092</v>
      </c>
      <c r="AE1036" s="318">
        <f t="shared" si="120"/>
        <v>0</v>
      </c>
      <c r="AF1036" s="317"/>
      <c r="AG1036" s="313"/>
      <c r="AH1036" s="312"/>
      <c r="AI1036" s="306"/>
      <c r="AJ1036" s="306"/>
      <c r="AK1036" s="318">
        <f t="shared" si="119"/>
        <v>34911092</v>
      </c>
      <c r="AL1036" s="312">
        <v>0</v>
      </c>
      <c r="AM1036" s="312">
        <f t="shared" si="121"/>
        <v>0</v>
      </c>
      <c r="AN1036" s="306" t="s">
        <v>1863</v>
      </c>
      <c r="AO1036" s="312">
        <f t="shared" si="116"/>
        <v>34911092</v>
      </c>
      <c r="AP1036" s="306"/>
      <c r="AQ1036" s="313">
        <v>43215</v>
      </c>
      <c r="AR1036" s="306" t="s">
        <v>2760</v>
      </c>
      <c r="AS1036" s="313">
        <v>43215</v>
      </c>
      <c r="AT1036" s="306" t="s">
        <v>1893</v>
      </c>
    </row>
    <row r="1037" spans="1:46" ht="178.5" x14ac:dyDescent="0.25">
      <c r="A1037" s="306">
        <v>442</v>
      </c>
      <c r="B1037" s="306" t="str">
        <f t="shared" si="114"/>
        <v>3075-442</v>
      </c>
      <c r="C1037" s="307" t="s">
        <v>1852</v>
      </c>
      <c r="D1037" s="308" t="s">
        <v>1853</v>
      </c>
      <c r="E1037" s="308" t="s">
        <v>1879</v>
      </c>
      <c r="F1037" s="307" t="s">
        <v>1880</v>
      </c>
      <c r="G1037" s="309" t="s">
        <v>1881</v>
      </c>
      <c r="H1037" s="310" t="s">
        <v>2991</v>
      </c>
      <c r="I1037" s="308" t="s">
        <v>1858</v>
      </c>
      <c r="J1037" s="308" t="s">
        <v>1859</v>
      </c>
      <c r="K1037" s="308" t="s">
        <v>63</v>
      </c>
      <c r="L1037" s="306" t="s">
        <v>1860</v>
      </c>
      <c r="M1037" s="306" t="s">
        <v>59</v>
      </c>
      <c r="N1037" s="306" t="s">
        <v>60</v>
      </c>
      <c r="O1037" s="308" t="s">
        <v>1874</v>
      </c>
      <c r="P1037" s="308" t="s">
        <v>2992</v>
      </c>
      <c r="Q1037" s="311">
        <v>54686940</v>
      </c>
      <c r="R1037" s="306">
        <v>1</v>
      </c>
      <c r="S1037" s="312">
        <f t="shared" si="123"/>
        <v>54686940</v>
      </c>
      <c r="T1037" s="306"/>
      <c r="U1037" s="306" t="s">
        <v>1876</v>
      </c>
      <c r="V1037" s="313" t="s">
        <v>304</v>
      </c>
      <c r="W1037" s="314" t="s">
        <v>63</v>
      </c>
      <c r="X1037" s="306" t="s">
        <v>2993</v>
      </c>
      <c r="Y1037" s="321">
        <v>43215</v>
      </c>
      <c r="Z1037" s="312">
        <v>54686940</v>
      </c>
      <c r="AA1037" s="316" t="s">
        <v>2994</v>
      </c>
      <c r="AB1037" s="317">
        <v>809</v>
      </c>
      <c r="AC1037" s="313">
        <v>43220</v>
      </c>
      <c r="AD1037" s="312">
        <v>54686940</v>
      </c>
      <c r="AE1037" s="318">
        <f t="shared" si="120"/>
        <v>0</v>
      </c>
      <c r="AF1037" s="317"/>
      <c r="AG1037" s="313"/>
      <c r="AH1037" s="312"/>
      <c r="AI1037" s="306"/>
      <c r="AJ1037" s="306"/>
      <c r="AK1037" s="318">
        <f t="shared" si="119"/>
        <v>54686940</v>
      </c>
      <c r="AL1037" s="312">
        <v>0</v>
      </c>
      <c r="AM1037" s="312">
        <f t="shared" si="121"/>
        <v>0</v>
      </c>
      <c r="AN1037" s="306" t="s">
        <v>1863</v>
      </c>
      <c r="AO1037" s="312">
        <f t="shared" si="116"/>
        <v>54686940</v>
      </c>
      <c r="AP1037" s="306"/>
      <c r="AQ1037" s="313">
        <v>43215</v>
      </c>
      <c r="AR1037" s="306" t="s">
        <v>2760</v>
      </c>
      <c r="AS1037" s="313">
        <v>43215</v>
      </c>
      <c r="AT1037" s="306" t="s">
        <v>2992</v>
      </c>
    </row>
    <row r="1038" spans="1:46" ht="178.5" x14ac:dyDescent="0.25">
      <c r="A1038" s="306">
        <v>443</v>
      </c>
      <c r="B1038" s="306" t="str">
        <f t="shared" si="114"/>
        <v>3075-443</v>
      </c>
      <c r="C1038" s="307" t="s">
        <v>1852</v>
      </c>
      <c r="D1038" s="308" t="s">
        <v>1853</v>
      </c>
      <c r="E1038" s="308" t="s">
        <v>1879</v>
      </c>
      <c r="F1038" s="307" t="s">
        <v>1880</v>
      </c>
      <c r="G1038" s="309" t="s">
        <v>1881</v>
      </c>
      <c r="H1038" s="310" t="s">
        <v>2991</v>
      </c>
      <c r="I1038" s="308" t="s">
        <v>1858</v>
      </c>
      <c r="J1038" s="308" t="s">
        <v>1859</v>
      </c>
      <c r="K1038" s="308" t="s">
        <v>63</v>
      </c>
      <c r="L1038" s="306" t="s">
        <v>1860</v>
      </c>
      <c r="M1038" s="306" t="s">
        <v>59</v>
      </c>
      <c r="N1038" s="306" t="s">
        <v>60</v>
      </c>
      <c r="O1038" s="308" t="s">
        <v>1874</v>
      </c>
      <c r="P1038" s="308" t="s">
        <v>2995</v>
      </c>
      <c r="Q1038" s="311">
        <v>54686940</v>
      </c>
      <c r="R1038" s="306">
        <v>1</v>
      </c>
      <c r="S1038" s="312">
        <f t="shared" si="123"/>
        <v>54686940</v>
      </c>
      <c r="T1038" s="306"/>
      <c r="U1038" s="306" t="s">
        <v>1876</v>
      </c>
      <c r="V1038" s="313" t="s">
        <v>304</v>
      </c>
      <c r="W1038" s="314" t="s">
        <v>63</v>
      </c>
      <c r="X1038" s="306" t="s">
        <v>2996</v>
      </c>
      <c r="Y1038" s="321">
        <v>43215</v>
      </c>
      <c r="Z1038" s="312">
        <v>54686940</v>
      </c>
      <c r="AA1038" s="316" t="s">
        <v>2994</v>
      </c>
      <c r="AB1038" s="317">
        <v>810</v>
      </c>
      <c r="AC1038" s="313">
        <v>43220</v>
      </c>
      <c r="AD1038" s="312">
        <v>54686940</v>
      </c>
      <c r="AE1038" s="318">
        <f t="shared" si="120"/>
        <v>0</v>
      </c>
      <c r="AF1038" s="317"/>
      <c r="AG1038" s="313"/>
      <c r="AH1038" s="312"/>
      <c r="AI1038" s="306"/>
      <c r="AJ1038" s="306"/>
      <c r="AK1038" s="318">
        <f t="shared" si="119"/>
        <v>54686940</v>
      </c>
      <c r="AL1038" s="312">
        <v>0</v>
      </c>
      <c r="AM1038" s="312">
        <f t="shared" si="121"/>
        <v>0</v>
      </c>
      <c r="AN1038" s="306" t="s">
        <v>1863</v>
      </c>
      <c r="AO1038" s="312">
        <f t="shared" si="116"/>
        <v>54686940</v>
      </c>
      <c r="AP1038" s="306"/>
      <c r="AQ1038" s="313">
        <v>43215</v>
      </c>
      <c r="AR1038" s="306" t="s">
        <v>2760</v>
      </c>
      <c r="AS1038" s="313">
        <v>43215</v>
      </c>
      <c r="AT1038" s="306" t="s">
        <v>2995</v>
      </c>
    </row>
    <row r="1039" spans="1:46" ht="76.5" x14ac:dyDescent="0.25">
      <c r="A1039" s="306">
        <v>444</v>
      </c>
      <c r="B1039" s="306" t="str">
        <f t="shared" si="114"/>
        <v>3075-444</v>
      </c>
      <c r="C1039" s="307" t="s">
        <v>1852</v>
      </c>
      <c r="D1039" s="308" t="s">
        <v>1853</v>
      </c>
      <c r="E1039" s="308" t="s">
        <v>1879</v>
      </c>
      <c r="F1039" s="307" t="s">
        <v>1880</v>
      </c>
      <c r="G1039" s="309" t="s">
        <v>1881</v>
      </c>
      <c r="H1039" s="310" t="s">
        <v>1882</v>
      </c>
      <c r="I1039" s="308" t="s">
        <v>1895</v>
      </c>
      <c r="J1039" s="308" t="s">
        <v>1896</v>
      </c>
      <c r="K1039" s="308" t="s">
        <v>63</v>
      </c>
      <c r="L1039" s="306" t="s">
        <v>1860</v>
      </c>
      <c r="M1039" s="306" t="s">
        <v>59</v>
      </c>
      <c r="N1039" s="306" t="s">
        <v>60</v>
      </c>
      <c r="O1039" s="308" t="s">
        <v>1874</v>
      </c>
      <c r="P1039" s="308" t="s">
        <v>2997</v>
      </c>
      <c r="Q1039" s="311">
        <v>4150000000</v>
      </c>
      <c r="R1039" s="306">
        <v>1</v>
      </c>
      <c r="S1039" s="312">
        <f t="shared" si="123"/>
        <v>4150000000</v>
      </c>
      <c r="T1039" s="306"/>
      <c r="U1039" s="306" t="s">
        <v>1876</v>
      </c>
      <c r="V1039" s="313" t="s">
        <v>1015</v>
      </c>
      <c r="W1039" s="314" t="s">
        <v>63</v>
      </c>
      <c r="X1039" s="323" t="s">
        <v>2998</v>
      </c>
      <c r="Y1039" s="313">
        <v>43223</v>
      </c>
      <c r="Z1039" s="315">
        <v>4150000000</v>
      </c>
      <c r="AA1039" s="316" t="s">
        <v>2999</v>
      </c>
      <c r="AB1039" s="317"/>
      <c r="AC1039" s="313"/>
      <c r="AD1039" s="312"/>
      <c r="AE1039" s="318">
        <f t="shared" si="120"/>
        <v>0</v>
      </c>
      <c r="AF1039" s="317"/>
      <c r="AG1039" s="313"/>
      <c r="AH1039" s="312"/>
      <c r="AI1039" s="306"/>
      <c r="AJ1039" s="306"/>
      <c r="AK1039" s="318">
        <f t="shared" si="119"/>
        <v>0</v>
      </c>
      <c r="AL1039" s="312">
        <v>0</v>
      </c>
      <c r="AM1039" s="312">
        <f t="shared" si="121"/>
        <v>0</v>
      </c>
      <c r="AN1039" s="306" t="s">
        <v>1863</v>
      </c>
      <c r="AO1039" s="312">
        <f t="shared" si="116"/>
        <v>4150000000</v>
      </c>
      <c r="AP1039" s="306"/>
      <c r="AQ1039" s="313">
        <v>43223</v>
      </c>
      <c r="AR1039" s="306" t="s">
        <v>2760</v>
      </c>
      <c r="AS1039" s="313">
        <v>43223</v>
      </c>
      <c r="AT1039" s="306" t="s">
        <v>3000</v>
      </c>
    </row>
    <row r="1040" spans="1:46" ht="178.5" x14ac:dyDescent="0.25">
      <c r="A1040" s="337">
        <v>445</v>
      </c>
      <c r="B1040" s="337" t="str">
        <f t="shared" si="114"/>
        <v>3075-445</v>
      </c>
      <c r="C1040" s="338" t="s">
        <v>1852</v>
      </c>
      <c r="D1040" s="339" t="s">
        <v>1853</v>
      </c>
      <c r="E1040" s="339" t="s">
        <v>1879</v>
      </c>
      <c r="F1040" s="338" t="s">
        <v>1880</v>
      </c>
      <c r="G1040" s="340" t="s">
        <v>1881</v>
      </c>
      <c r="H1040" s="310" t="s">
        <v>2991</v>
      </c>
      <c r="I1040" s="339" t="s">
        <v>1858</v>
      </c>
      <c r="J1040" s="308" t="s">
        <v>1859</v>
      </c>
      <c r="K1040" s="339" t="s">
        <v>63</v>
      </c>
      <c r="L1040" s="337" t="s">
        <v>1860</v>
      </c>
      <c r="M1040" s="337" t="s">
        <v>59</v>
      </c>
      <c r="N1040" s="337" t="s">
        <v>60</v>
      </c>
      <c r="O1040" s="339" t="s">
        <v>1874</v>
      </c>
      <c r="P1040" s="339" t="s">
        <v>3001</v>
      </c>
      <c r="Q1040" s="343">
        <v>54686940</v>
      </c>
      <c r="R1040" s="337">
        <v>1</v>
      </c>
      <c r="S1040" s="312">
        <f t="shared" si="123"/>
        <v>54686940</v>
      </c>
      <c r="T1040" s="337"/>
      <c r="U1040" s="337" t="s">
        <v>1876</v>
      </c>
      <c r="V1040" s="344" t="s">
        <v>1015</v>
      </c>
      <c r="W1040" s="345" t="s">
        <v>63</v>
      </c>
      <c r="X1040" s="358" t="s">
        <v>3002</v>
      </c>
      <c r="Y1040" s="344">
        <v>43224</v>
      </c>
      <c r="Z1040" s="347">
        <v>54686940</v>
      </c>
      <c r="AA1040" s="316" t="s">
        <v>3003</v>
      </c>
      <c r="AB1040" s="349"/>
      <c r="AC1040" s="344"/>
      <c r="AD1040" s="343"/>
      <c r="AE1040" s="350">
        <f t="shared" si="120"/>
        <v>0</v>
      </c>
      <c r="AF1040" s="349"/>
      <c r="AG1040" s="344"/>
      <c r="AH1040" s="343"/>
      <c r="AI1040" s="337"/>
      <c r="AJ1040" s="337"/>
      <c r="AK1040" s="350">
        <f t="shared" si="119"/>
        <v>0</v>
      </c>
      <c r="AL1040" s="343">
        <v>0</v>
      </c>
      <c r="AM1040" s="343">
        <f t="shared" si="121"/>
        <v>0</v>
      </c>
      <c r="AN1040" s="337" t="s">
        <v>1863</v>
      </c>
      <c r="AO1040" s="343">
        <f t="shared" si="116"/>
        <v>54686940</v>
      </c>
      <c r="AP1040" s="337"/>
      <c r="AQ1040" s="344">
        <v>43224</v>
      </c>
      <c r="AR1040" s="337" t="s">
        <v>2760</v>
      </c>
      <c r="AS1040" s="313">
        <v>43224</v>
      </c>
      <c r="AT1040" s="337" t="s">
        <v>3001</v>
      </c>
    </row>
    <row r="1041" spans="1:46" ht="191.25" x14ac:dyDescent="0.25">
      <c r="A1041" s="337">
        <v>446</v>
      </c>
      <c r="B1041" s="337" t="str">
        <f t="shared" si="114"/>
        <v>3075-446</v>
      </c>
      <c r="C1041" s="338" t="s">
        <v>1852</v>
      </c>
      <c r="D1041" s="339" t="s">
        <v>1853</v>
      </c>
      <c r="E1041" s="339" t="s">
        <v>1879</v>
      </c>
      <c r="F1041" s="338" t="s">
        <v>1880</v>
      </c>
      <c r="G1041" s="340" t="s">
        <v>1881</v>
      </c>
      <c r="H1041" s="341" t="s">
        <v>1882</v>
      </c>
      <c r="I1041" s="339" t="s">
        <v>1858</v>
      </c>
      <c r="J1041" s="339" t="s">
        <v>1888</v>
      </c>
      <c r="K1041" s="339" t="s">
        <v>63</v>
      </c>
      <c r="L1041" s="337" t="s">
        <v>1860</v>
      </c>
      <c r="M1041" s="337" t="s">
        <v>59</v>
      </c>
      <c r="N1041" s="337" t="s">
        <v>60</v>
      </c>
      <c r="O1041" s="339" t="s">
        <v>1874</v>
      </c>
      <c r="P1041" s="339" t="s">
        <v>3004</v>
      </c>
      <c r="Q1041" s="343">
        <v>39062100</v>
      </c>
      <c r="R1041" s="337">
        <v>1</v>
      </c>
      <c r="S1041" s="343">
        <v>39062100</v>
      </c>
      <c r="T1041" s="337"/>
      <c r="U1041" s="337" t="s">
        <v>1876</v>
      </c>
      <c r="V1041" s="344" t="s">
        <v>1015</v>
      </c>
      <c r="W1041" s="345" t="s">
        <v>63</v>
      </c>
      <c r="X1041" s="358" t="s">
        <v>3005</v>
      </c>
      <c r="Y1041" s="344">
        <v>43224</v>
      </c>
      <c r="Z1041" s="347">
        <v>39062100</v>
      </c>
      <c r="AA1041" s="316" t="s">
        <v>3006</v>
      </c>
      <c r="AB1041" s="349"/>
      <c r="AC1041" s="344"/>
      <c r="AD1041" s="343"/>
      <c r="AE1041" s="350">
        <f t="shared" si="120"/>
        <v>0</v>
      </c>
      <c r="AF1041" s="349"/>
      <c r="AG1041" s="344"/>
      <c r="AH1041" s="343"/>
      <c r="AI1041" s="337"/>
      <c r="AJ1041" s="337"/>
      <c r="AK1041" s="350">
        <f t="shared" si="119"/>
        <v>0</v>
      </c>
      <c r="AL1041" s="343">
        <v>0</v>
      </c>
      <c r="AM1041" s="343">
        <f t="shared" si="121"/>
        <v>0</v>
      </c>
      <c r="AN1041" s="337" t="s">
        <v>1863</v>
      </c>
      <c r="AO1041" s="343">
        <f t="shared" si="116"/>
        <v>39062100</v>
      </c>
      <c r="AP1041" s="337"/>
      <c r="AQ1041" s="344">
        <v>43224</v>
      </c>
      <c r="AR1041" s="337" t="s">
        <v>2760</v>
      </c>
      <c r="AS1041" s="313">
        <v>43224</v>
      </c>
      <c r="AT1041" s="337" t="s">
        <v>3004</v>
      </c>
    </row>
  </sheetData>
  <mergeCells count="60">
    <mergeCell ref="AB258:AB259"/>
    <mergeCell ref="AF258:AF259"/>
    <mergeCell ref="AG258:AG259"/>
    <mergeCell ref="AI258:AI259"/>
    <mergeCell ref="AJ258:AJ259"/>
    <mergeCell ref="AT244:AT245"/>
    <mergeCell ref="AF250:AF251"/>
    <mergeCell ref="AG250:AG251"/>
    <mergeCell ref="AI250:AI251"/>
    <mergeCell ref="AJ250:AJ251"/>
    <mergeCell ref="AK244:AK245"/>
    <mergeCell ref="AN244:AN245"/>
    <mergeCell ref="AP244:AP245"/>
    <mergeCell ref="AQ244:AQ245"/>
    <mergeCell ref="AR244:AR245"/>
    <mergeCell ref="AS244:AS245"/>
    <mergeCell ref="AF244:AF245"/>
    <mergeCell ref="AG244:AG245"/>
    <mergeCell ref="V244:V245"/>
    <mergeCell ref="W244:W245"/>
    <mergeCell ref="AH242:AH243"/>
    <mergeCell ref="AI242:AI243"/>
    <mergeCell ref="AJ242:AJ243"/>
    <mergeCell ref="AI244:AI245"/>
    <mergeCell ref="AJ244:AJ245"/>
    <mergeCell ref="X244:X245"/>
    <mergeCell ref="Y244:Y245"/>
    <mergeCell ref="Z244:Z245"/>
    <mergeCell ref="AA244:AA245"/>
    <mergeCell ref="AB244:AB245"/>
    <mergeCell ref="AC244:AC245"/>
    <mergeCell ref="AD244:AD245"/>
    <mergeCell ref="AE244:AE245"/>
    <mergeCell ref="Q244:Q245"/>
    <mergeCell ref="R244:R245"/>
    <mergeCell ref="S244:S245"/>
    <mergeCell ref="T244:T245"/>
    <mergeCell ref="U244:U245"/>
    <mergeCell ref="A4:AP4"/>
    <mergeCell ref="AQ4:AT4"/>
    <mergeCell ref="AB223:AB224"/>
    <mergeCell ref="AA242:AA243"/>
    <mergeCell ref="AB242:AB243"/>
    <mergeCell ref="AC242:AC243"/>
    <mergeCell ref="AD242:AD243"/>
    <mergeCell ref="AE242:AE243"/>
    <mergeCell ref="AF242:AF243"/>
    <mergeCell ref="AG242:AG243"/>
    <mergeCell ref="AN242:AN243"/>
    <mergeCell ref="AP242:AP243"/>
    <mergeCell ref="AQ242:AQ243"/>
    <mergeCell ref="AK242:AK243"/>
    <mergeCell ref="AL242:AL243"/>
    <mergeCell ref="AM242:AM243"/>
    <mergeCell ref="A1:C3"/>
    <mergeCell ref="AQ1:AT1"/>
    <mergeCell ref="AQ2:AR2"/>
    <mergeCell ref="AS2:AT2"/>
    <mergeCell ref="AQ3:AT3"/>
    <mergeCell ref="D1:AP3"/>
  </mergeCells>
  <conditionalFormatting sqref="P229">
    <cfRule type="duplicateValues" dxfId="0" priority="1"/>
  </conditionalFormatting>
  <dataValidations disablePrompts="1" count="7">
    <dataValidation type="list" allowBlank="1" showInputMessage="1" showErrorMessage="1" sqref="J8:J123 J125:J128" xr:uid="{F312DD29-B141-4FF5-A80E-47D03EF4EED3}">
      <formula1>$O$557:$O$561</formula1>
    </dataValidation>
    <dataValidation type="list" allowBlank="1" showInputMessage="1" showErrorMessage="1" sqref="I8:I123 I125:I128" xr:uid="{691C8E9D-F7B4-4D73-A316-E59EBAA020E2}">
      <formula1>$N$557:$N$559</formula1>
    </dataValidation>
    <dataValidation type="list" allowBlank="1" showInputMessage="1" showErrorMessage="1" sqref="F6:F130" xr:uid="{47C39D4B-EC6D-4316-BC25-F3044808ECCB}">
      <formula1>$B$581:$B$588</formula1>
    </dataValidation>
    <dataValidation type="list" allowBlank="1" showInputMessage="1" showErrorMessage="1" sqref="D240:D243 D246 D254:D256" xr:uid="{3147DC88-2790-4A92-9C4D-9D87DF644B4D}">
      <formula1>$E$436:$E$445</formula1>
    </dataValidation>
    <dataValidation type="list" allowBlank="1" showInputMessage="1" showErrorMessage="1" sqref="D131:D224 D257:D260 D244:D245 D247:D253 D230:D234" xr:uid="{8CF02494-D7AB-4AA4-B07D-90240084C95D}">
      <formula1>$E$437:$E$446</formula1>
    </dataValidation>
    <dataValidation type="list" allowBlank="1" showInputMessage="1" showErrorMessage="1" sqref="J368" xr:uid="{CAEAC9AD-CEB2-4CEC-9699-273961360352}">
      <formula1>$P$754:$P$758</formula1>
    </dataValidation>
    <dataValidation allowBlank="1" showErrorMessage="1" sqref="G605 G598 G1007 G903 G952:G959 G687:G690 G1033" xr:uid="{945ABB1D-662D-40EA-BC6A-47E8737EF78A}"/>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ABRIL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Malaver Gómez</dc:creator>
  <cp:lastModifiedBy>Héctor Andrés Mejía Mejía</cp:lastModifiedBy>
  <dcterms:created xsi:type="dcterms:W3CDTF">2018-05-08T13:58:38Z</dcterms:created>
  <dcterms:modified xsi:type="dcterms:W3CDTF">2018-05-15T15:12:19Z</dcterms:modified>
</cp:coreProperties>
</file>